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mCR2KRgYNHEapcdK8xE6x0fH3ogoQ+U+WvAgzsQJAkQ/5BG87/a2fVtKieMUGHEzoR13gGVn4iG6GZTTAqKZQw==" workbookSaltValue="e/5Q0PnkRobOPZ1Rif/q8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T31" i="8"/>
  <c r="H28" i="2"/>
  <c r="R8" i="9"/>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I16" i="1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L22" i="11"/>
  <c r="AQ12" i="2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17" i="11"/>
  <c r="BI22" i="11"/>
  <c r="BH25" i="11"/>
  <c r="BI21" i="11"/>
  <c r="L28" i="2"/>
  <c r="L17" i="2"/>
  <c r="AA11" i="16"/>
  <c r="BK10" i="11"/>
  <c r="L10" i="2"/>
  <c r="X21" i="20"/>
  <c r="L16" i="2"/>
  <c r="L18" i="2"/>
  <c r="X16" i="16"/>
  <c r="X23" i="16" s="1"/>
  <c r="L9" i="2"/>
  <c r="V25"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J23" i="11"/>
  <c r="R14" i="21"/>
  <c r="R31" i="21"/>
  <c r="AZ31" i="11"/>
  <c r="AZ14" i="11"/>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<sst xmlns="http://schemas.openxmlformats.org/spreadsheetml/2006/main" count="2654" uniqueCount="1185">
  <si>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</si>
  <si>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</si>
  <si>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</si>
  <si>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</si>
  <si>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</si>
  <si>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</si>
  <si>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</si>
  <si>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</si>
  <si>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</si>
  <si>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</si>
  <si>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</si>
  <si>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</si>
  <si>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</si>
  <si>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</si>
  <si>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</si>
  <si>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</si>
  <si>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</si>
  <si>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</si>
  <si>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</si>
  <si>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</si>
  <si>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</si>
  <si>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</si>
  <si>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</si>
  <si>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</si>
  <si>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</si>
  <si>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</si>
  <si>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</si>
  <si>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</si>
  <si>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</si>
  <si>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</si>
  <si>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</si>
  <si>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</si>
  <si>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</si>
  <si>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</si>
  <si>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</si>
  <si>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</si>
  <si>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</si>
  <si>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</si>
  <si>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</si>
  <si>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</si>
  <si>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</si>
  <si>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</si>
  <si>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</si>
  <si>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</si>
  <si>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</si>
  <si>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</si>
  <si>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</si>
  <si>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</si>
  <si>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</si>
  <si>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</si>
  <si>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</si>
  <si>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</si>
  <si>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</si>
  <si>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</si>
  <si>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</si>
  <si>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</si>
  <si>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</si>
  <si>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</si>
  <si>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</si>
  <si>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</si>
  <si>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</si>
  <si>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</si>
  <si>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</si>
  <si>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</si>
  <si>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</si>
  <si>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</si>
  <si>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</si>
  <si>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</si>
  <si>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</si>
  <si>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</si>
  <si>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</si>
  <si>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</si>
  <si>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</si>
  <si>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</si>
  <si>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</si>
  <si>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</si>
  <si>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</si>
  <si>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</si>
  <si>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</si>
  <si>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</si>
  <si>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</si>
  <si>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</si>
  <si>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</si>
  <si>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</si>
  <si>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</si>
  <si>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</si>
  <si>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</si>
  <si>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</si>
  <si>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</si>
  <si>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</si>
  <si>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</si>
  <si>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</si>
  <si>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</si>
  <si>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</si>
  <si>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</si>
  <si>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</si>
  <si>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</si>
  <si>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</si>
  <si>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</si>
  <si>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</si>
  <si>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</si>
  <si>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</si>
  <si>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</si>
  <si>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</si>
  <si>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</si>
  <si>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</si>
  <si>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</si>
  <si>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</si>
  <si>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</si>
  <si>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</si>
  <si>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</si>
  <si>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</si>
  <si>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</si>
  <si>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</si>
  <si>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</si>
  <si>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</si>
  <si>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</si>
  <si>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</si>
  <si>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</si>
  <si>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</si>
  <si>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</si>
  <si>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</si>
  <si>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</si>
  <si>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</si>
  <si>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</si>
  <si>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</si>
  <si>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</si>
  <si>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</si>
  <si>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</si>
  <si>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</si>
  <si>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</si>
  <si>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</si>
  <si>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</si>
  <si>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</si>
  <si>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</si>
  <si>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</si>
  <si>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</si>
  <si>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</si>
  <si>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</si>
  <si>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</si>
  <si>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</si>
  <si>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</si>
  <si>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</si>
  <si>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</si>
  <si>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</si>
  <si>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</si>
  <si>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</si>
  <si>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</si>
  <si>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</si>
  <si>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</si>
  <si>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</si>
  <si>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</si>
  <si>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</si>
  <si>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</si>
  <si>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</si>
  <si>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</si>
  <si>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</si>
  <si>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</si>
  <si>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</si>
  <si>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</si>
  <si>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</si>
  <si>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</si>
  <si>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</si>
  <si>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</si>
  <si>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</si>
  <si>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</si>
  <si>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</si>
  <si>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</si>
  <si>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</si>
  <si>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</si>
  <si>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</si>
  <si>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</si>
  <si>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</si>
  <si>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</si>
  <si>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</si>
  <si>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</si>
  <si>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</si>
  <si>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</si>
  <si>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</si>
  <si>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</si>
  <si>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</si>
  <si>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</si>
  <si>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</si>
  <si>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</si>
  <si>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</si>
  <si>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</si>
  <si>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</si>
  <si>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</si>
  <si>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</si>
  <si>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</si>
  <si>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</si>
  <si>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</si>
  <si>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</si>
  <si>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</si>
  <si>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</si>
  <si>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</si>
  <si>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</si>
  <si>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</si>
  <si>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</si>
  <si>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</si>
  <si>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</si>
  <si>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</si>
  <si>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</si>
  <si>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</si>
  <si>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</si>
  <si>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</si>
  <si>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</si>
  <si>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</si>
  <si>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</si>
  <si>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</si>
  <si>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</si>
  <si>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</si>
  <si>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</si>
  <si>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</si>
  <si>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</si>
  <si>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</si>
  <si>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</si>
  <si>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</si>
  <si>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</si>
  <si>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</si>
  <si>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</si>
  <si>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</si>
  <si>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</si>
  <si>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</si>
  <si>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</si>
  <si>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</si>
  <si>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</si>
  <si>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</si>
  <si>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</si>
  <si>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</si>
  <si>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</si>
  <si>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</si>
  <si>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</si>
  <si>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</si>
  <si>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</si>
  <si>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</si>
  <si>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</si>
  <si>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</si>
  <si>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</si>
  <si>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</si>
  <si>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</si>
  <si>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</si>
  <si>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</si>
  <si>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</si>
  <si>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</si>
  <si>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</si>
  <si>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</si>
  <si>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</si>
  <si>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</si>
  <si>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</si>
  <si>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</si>
  <si>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</si>
  <si>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</si>
  <si>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</si>
  <si>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</si>
  <si>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</si>
  <si>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</si>
  <si>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</si>
  <si>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</si>
  <si>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</si>
  <si>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</si>
  <si>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</si>
  <si>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</si>
  <si>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</si>
  <si>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</si>
  <si>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</si>
  <si>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</si>
  <si>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</si>
  <si>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</si>
  <si>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</si>
  <si>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</si>
  <si>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</si>
  <si>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</si>
  <si>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</si>
  <si>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</si>
  <si>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</si>
  <si>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</si>
  <si>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</si>
  <si>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</si>
  <si>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</si>
  <si>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</si>
  <si>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</si>
  <si>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</si>
  <si>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</si>
  <si>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</si>
  <si>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</si>
  <si>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</si>
  <si>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</si>
  <si>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</si>
  <si>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</si>
  <si>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</si>
  <si>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</si>
  <si>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</si>
  <si>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</si>
  <si>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</si>
  <si>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</si>
  <si>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</si>
  <si>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</si>
  <si>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</si>
  <si>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</si>
  <si>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</si>
  <si>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</si>
  <si>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</si>
  <si>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</si>
  <si>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</si>
  <si>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</si>
  <si>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</si>
  <si>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</si>
  <si>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</si>
  <si>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</si>
  <si>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</si>
  <si>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</si>
  <si>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</si>
  <si>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</si>
  <si>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</si>
  <si>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</si>
  <si>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</si>
  <si>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</si>
  <si>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</si>
  <si>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</si>
  <si>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</si>
  <si>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</si>
  <si>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</si>
  <si>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</si>
  <si>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</si>
  <si>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</si>
  <si>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</si>
  <si>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</si>
  <si>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</si>
  <si>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</si>
  <si>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</si>
  <si>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</si>
  <si>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</si>
  <si>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</si>
  <si>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</si>
  <si>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</si>
  <si>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</si>
  <si>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</si>
  <si>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</si>
  <si>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</si>
  <si>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</si>
  <si>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</si>
  <si>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</si>
  <si>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</si>
  <si>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</si>
  <si>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</si>
  <si>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</si>
  <si>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</si>
  <si>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</si>
  <si>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</si>
  <si>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</si>
  <si>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</si>
  <si>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</si>
  <si>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</si>
  <si>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</si>
  <si>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</si>
  <si>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</si>
  <si>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</si>
  <si>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</si>
  <si>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</si>
  <si>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</si>
  <si>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</si>
  <si>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</si>
  <si>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</si>
  <si>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</si>
  <si>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</si>
  <si>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</si>
  <si>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</si>
  <si>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</si>
  <si>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</si>
  <si>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</si>
  <si>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</si>
  <si>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</si>
  <si>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</si>
  <si>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</si>
  <si>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</si>
  <si>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</si>
  <si>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</si>
  <si>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</si>
  <si>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</si>
  <si>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</si>
  <si>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</si>
  <si>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</si>
  <si>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</si>
  <si>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</si>
  <si>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</si>
  <si>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</si>
  <si>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</si>
  <si>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</si>
  <si>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</si>
  <si>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</si>
  <si>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</si>
  <si>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</si>
  <si>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</si>
  <si>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</si>
  <si>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</si>
  <si>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</si>
  <si>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</si>
  <si>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</si>
  <si>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</si>
  <si>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</si>
  <si>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</si>
  <si>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</si>
  <si>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</si>
  <si>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</si>
  <si>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</si>
  <si>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</si>
  <si>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</si>
  <si>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</si>
  <si>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</si>
  <si>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</si>
  <si>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</si>
  <si>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</si>
  <si>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</si>
  <si>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</si>
  <si>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</si>
  <si>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</si>
  <si>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</si>
  <si>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</si>
  <si>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</si>
  <si>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</si>
  <si>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</si>
  <si>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</si>
  <si>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</si>
  <si>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</si>
  <si>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</si>
  <si>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</si>
  <si>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</si>
  <si>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</si>
  <si>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</si>
  <si>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</si>
  <si>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</si>
  <si>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</si>
  <si>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</si>
  <si>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</si>
  <si>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</si>
  <si>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</si>
  <si>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</si>
  <si>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</si>
  <si>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</si>
  <si>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</si>
  <si>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</si>
  <si>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</si>
  <si>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</si>
  <si>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</si>
  <si>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</si>
  <si>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</si>
  <si>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</si>
  <si>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</si>
  <si>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</si>
  <si>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</si>
  <si>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</si>
  <si>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</si>
  <si>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</si>
  <si>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</si>
  <si>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</si>
  <si>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</si>
  <si>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</si>
  <si>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</si>
  <si>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</si>
  <si>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</si>
  <si>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</si>
  <si>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</si>
  <si>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</si>
  <si>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</si>
  <si>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</si>
  <si>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</si>
  <si>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</si>
  <si>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</si>
  <si>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</si>
  <si>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</si>
  <si>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</si>
  <si>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</si>
  <si>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</si>
  <si>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</si>
  <si>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</si>
  <si>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</si>
  <si>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</si>
  <si>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</si>
  <si>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</si>
  <si>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</si>
  <si>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</si>
  <si>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</si>
  <si>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</si>
  <si>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</si>
  <si>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</si>
  <si>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</si>
  <si>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</si>
  <si>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</si>
  <si>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</si>
  <si>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</si>
  <si>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</si>
  <si>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</si>
  <si>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</si>
  <si>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</si>
  <si>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</si>
  <si>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</si>
  <si>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</si>
  <si>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</si>
  <si>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</si>
  <si>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</si>
  <si>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</si>
  <si>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</si>
  <si>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</si>
  <si>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</si>
  <si>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</si>
  <si>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</si>
  <si>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</si>
  <si>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</si>
  <si>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</si>
  <si>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</si>
  <si>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</si>
  <si>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</si>
  <si>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</si>
  <si>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</si>
  <si>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</si>
  <si>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</si>
  <si>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</si>
  <si>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</si>
  <si>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</si>
  <si>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</si>
  <si>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</si>
  <si>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</si>
  <si>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</si>
  <si>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</si>
  <si>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</si>
  <si>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</si>
  <si>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</si>
  <si>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</si>
  <si>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</si>
  <si>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</si>
  <si>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</si>
  <si>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</si>
  <si>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</si>
  <si>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</si>
  <si>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</si>
  <si>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</si>
  <si>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</si>
  <si>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</si>
  <si>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</si>
  <si>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</si>
  <si>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</si>
  <si>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</si>
  <si>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</si>
  <si>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</si>
  <si>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</si>
  <si>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</si>
  <si>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</si>
  <si>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</si>
  <si>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</si>
  <si>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</si>
  <si>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</si>
  <si>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</si>
  <si>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</si>
  <si>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</si>
  <si>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</si>
  <si>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</si>
  <si>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</si>
  <si>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</si>
  <si>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</si>
  <si>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</si>
  <si>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</si>
  <si>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</si>
  <si>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</si>
  <si>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</si>
  <si>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</si>
  <si>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</si>
  <si>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</si>
  <si>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</si>
  <si>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</si>
  <si>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</si>
  <si>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</si>
  <si>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</si>
  <si>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</si>
  <si>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</si>
  <si>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</si>
  <si>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</si>
  <si>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</si>
  <si>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</si>
  <si>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</si>
  <si>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</si>
  <si>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</si>
  <si>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</si>
  <si>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</si>
  <si>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</si>
  <si>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</si>
  <si>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</si>
  <si>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</si>
  <si>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</si>
  <si>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</si>
  <si>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</si>
  <si>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</si>
  <si>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</si>
  <si>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</si>
  <si>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</si>
  <si>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</si>
  <si>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</si>
  <si>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</si>
  <si>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</si>
  <si>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</si>
  <si>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</si>
  <si>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</si>
  <si>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</si>
  <si>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</si>
  <si>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</si>
  <si>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</si>
  <si>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</si>
  <si>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</si>
  <si>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</si>
  <si>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</si>
  <si>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</si>
  <si>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</si>
  <si>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</si>
  <si>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</si>
  <si>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</si>
  <si>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</si>
  <si>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</si>
  <si>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</si>
  <si>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</si>
  <si>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</si>
  <si>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</si>
  <si>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</si>
  <si>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</si>
  <si>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</si>
  <si>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</si>
  <si>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</si>
  <si>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</si>
  <si>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</si>
  <si>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</si>
  <si>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</si>
  <si>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</si>
  <si>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</si>
  <si>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</si>
  <si>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</si>
  <si>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</si>
  <si>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</si>
  <si>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</si>
  <si>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</si>
  <si>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</si>
  <si>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</si>
  <si>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</si>
  <si>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</si>
  <si>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</si>
  <si>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</si>
  <si>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</si>
  <si>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</si>
  <si>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</si>
  <si>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</si>
  <si>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</si>
  <si>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</si>
  <si>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</si>
  <si>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</si>
  <si>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</si>
  <si>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</si>
  <si>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</si>
  <si>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</si>
  <si>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</si>
  <si>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</si>
  <si>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</si>
  <si>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</si>
  <si>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</si>
  <si>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</si>
  <si>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</si>
  <si>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</si>
  <si>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</si>
  <si>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</si>
  <si>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</si>
  <si>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</si>
  <si>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</si>
  <si>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</si>
  <si>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</si>
  <si>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</si>
  <si>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</si>
  <si>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</si>
  <si>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</si>
  <si>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</si>
  <si>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</si>
  <si>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</si>
  <si>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</si>
  <si>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</si>
  <si>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</si>
  <si>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</si>
  <si>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</si>
  <si>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</si>
  <si>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</si>
  <si>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</si>
  <si>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</si>
  <si>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</si>
  <si>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</si>
  <si>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</si>
  <si>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</si>
  <si>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</si>
  <si>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</si>
  <si>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</si>
  <si>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</si>
  <si>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</si>
  <si>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</si>
  <si>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</si>
  <si>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</si>
  <si>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</si>
  <si>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</si>
  <si>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</si>
  <si>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</si>
  <si>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</si>
  <si>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</si>
  <si>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</si>
  <si>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</si>
  <si>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</si>
  <si>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</si>
  <si>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</si>
  <si>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</si>
  <si>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</si>
  <si>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</si>
  <si>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</si>
  <si>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</si>
  <si>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</si>
  <si>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</si>
  <si>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</si>
  <si>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</si>
  <si>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</si>
  <si>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</si>
  <si>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</si>
  <si>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</si>
  <si>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</si>
  <si>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</si>
  <si>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</si>
  <si>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</si>
  <si>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</si>
  <si>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</si>
  <si>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</si>
  <si>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</si>
  <si>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</si>
  <si>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</si>
  <si>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</si>
  <si>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</si>
  <si>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</si>
  <si>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</si>
  <si>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</si>
  <si>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</si>
  <si>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</si>
  <si>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</si>
  <si>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</si>
  <si>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</si>
  <si>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</si>
  <si>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</si>
  <si>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</si>
  <si>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</si>
  <si>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</si>
  <si>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</si>
  <si>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</si>
  <si>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</si>
  <si>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</si>
  <si>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</si>
  <si>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</si>
  <si>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</si>
  <si>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</si>
  <si>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</si>
  <si>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</si>
  <si>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</si>
  <si>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</si>
  <si>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</si>
  <si>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</si>
  <si>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</si>
  <si>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</si>
  <si>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</si>
  <si>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</si>
  <si>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</si>
  <si>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</si>
  <si>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</si>
  <si>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</si>
  <si>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</si>
  <si>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</si>
  <si>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</si>
  <si>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</si>
  <si>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</si>
  <si>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</si>
  <si>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</si>
  <si>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</si>
  <si>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</si>
  <si>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</si>
  <si>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</si>
  <si>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</si>
  <si>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</si>
  <si>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</si>
  <si>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</si>
  <si>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</si>
  <si>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</si>
  <si>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</si>
  <si>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</si>
  <si>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</si>
  <si>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</si>
  <si>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</si>
  <si>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</si>
  <si>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</si>
  <si>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</si>
  <si>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</si>
  <si>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</si>
  <si>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</si>
  <si>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</si>
  <si>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</si>
  <si>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</si>
  <si>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</si>
  <si>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</si>
  <si>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</si>
  <si>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</si>
  <si>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</si>
  <si>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</si>
  <si>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</si>
  <si>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</si>
  <si>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</si>
  <si>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</si>
  <si>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</si>
  <si>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</si>
  <si>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</si>
  <si>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</si>
  <si>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</si>
  <si>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</si>
  <si>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</si>
  <si>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</si>
  <si>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</si>
  <si>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</si>
  <si>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</si>
  <si>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</si>
  <si>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</si>
  <si>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</si>
  <si>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</si>
  <si>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</si>
  <si>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</si>
  <si>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</si>
  <si>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</si>
  <si>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</si>
  <si>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</si>
  <si>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</si>
  <si>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</si>
  <si>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</si>
  <si>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</si>
  <si>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</si>
  <si>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</si>
  <si>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</si>
  <si>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</si>
  <si>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</si>
  <si>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</si>
  <si>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</si>
  <si>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</si>
  <si>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</si>
  <si>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</si>
  <si>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</si>
  <si>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</si>
  <si>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</si>
  <si>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</si>
  <si>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</si>
  <si>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</si>
  <si>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</si>
  <si>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</si>
  <si>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</si>
  <si>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</si>
  <si>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</si>
  <si>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</si>
  <si>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</si>
  <si>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</si>
  <si>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</si>
  <si>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</si>
  <si>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</si>
  <si>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</si>
  <si>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</si>
  <si>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</si>
  <si>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</si>
  <si>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</si>
  <si>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</si>
  <si>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</si>
  <si>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</si>
  <si>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</si>
  <si>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</si>
  <si>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</si>
  <si>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</si>
  <si>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</si>
  <si>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</si>
  <si>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</si>
  <si>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</si>
  <si>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</si>
  <si>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</si>
  <si>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</si>
  <si>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</si>
  <si>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</si>
  <si>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</si>
  <si>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</si>
  <si>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</si>
  <si>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</si>
  <si>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</si>
  <si>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</si>
  <si>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</si>
  <si>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</si>
  <si>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</si>
  <si>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</si>
  <si>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</si>
  <si>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</si>
  <si>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</si>
  <si>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</si>
  <si>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</si>
  <si>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</si>
  <si>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</si>
  <si>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</si>
  <si>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</si>
  <si>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</si>
  <si>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</si>
  <si>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</si>
  <si>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</si>
  <si>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</si>
  <si>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</si>
  <si>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</si>
  <si>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</si>
  <si>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</si>
  <si>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</si>
  <si>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</si>
  <si>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</si>
  <si>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</si>
  <si>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</si>
  <si>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</si>
  <si>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</si>
  <si>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</si>
  <si>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</si>
  <si>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</si>
  <si>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</si>
  <si>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</si>
  <si>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</si>
  <si>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</si>
  <si>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</si>
  <si>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</si>
  <si>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</si>
  <si>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</si>
  <si>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</si>
  <si>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</si>
  <si>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</si>
  <si>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</si>
  <si>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</si>
  <si>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</si>
  <si>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</si>
  <si>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</si>
  <si>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</si>
  <si>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</si>
  <si>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</si>
  <si>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</si>
  <si>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</si>
  <si>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</si>
  <si>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</si>
  <si>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</si>
  <si>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</si>
  <si>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</si>
  <si>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</si>
  <si>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</si>
  <si>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</si>
  <si>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</si>
  <si>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</si>
  <si>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</si>
  <si>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</si>
  <si>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</si>
  <si>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</si>
  <si>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</si>
  <si>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</si>
  <si>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</si>
  <si>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</si>
  <si>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</si>
  <si>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</si>
  <si>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</si>
  <si>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</si>
  <si>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</si>
  <si>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</si>
  <si>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</si>
  <si>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</si>
  <si>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</si>
  <si>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</si>
  <si>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</si>
  <si>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</si>
  <si>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</si>
  <si>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</si>
  <si>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</si>
  <si>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</si>
  <si>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</si>
  <si>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</si>
  <si>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</si>
  <si>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</si>
  <si>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</si>
  <si>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</si>
  <si>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</si>
  <si>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</si>
  <si>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</si>
  <si>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</si>
  <si>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</si>
  <si>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</si>
  <si>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</si>
  <si>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</si>
  <si>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</si>
  <si>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</si>
  <si>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</si>
  <si>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</si>
  <si>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</si>
  <si>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</si>
  <si>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</si>
  <si>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</si>
  <si>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</si>
  <si>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</si>
  <si>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</si>
  <si>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</si>
  <si>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</si>
  <si>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</si>
  <si>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</si>
  <si>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</si>
  <si>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</si>
  <si>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</si>
  <si>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</si>
  <si>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</si>
  <si>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</si>
  <si>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</si>
  <si>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</si>
  <si>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</si>
  <si>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</si>
  <si>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</si>
  <si>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</si>
  <si>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</si>
  <si>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</si>
  <si>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</si>
  <si>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</si>
  <si>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</si>
  <si>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</si>
  <si>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</si>
  <si>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</si>
  <si>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</si>
  <si>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</si>
  <si>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</si>
  <si>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</si>
  <si>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</si>
  <si>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</si>
  <si>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</si>
  <si>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</si>
  <si>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</si>
  <si>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</si>
  <si>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</si>
  <si>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</si>
  <si>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</si>
  <si>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</si>
  <si>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</si>
  <si>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</si>
  <si>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</si>
  <si>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</si>
  <si>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</si>
  <si>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</si>
  <si>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</si>
  <si>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</si>
  <si>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</si>
  <si>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</si>
  <si>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</si>
  <si>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</si>
  <si>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</si>
  <si>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</si>
  <si>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</si>
  <si>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</si>
  <si>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</si>
  <si>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</si>
  <si>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</si>
  <si>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</si>
  <si>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</si>
  <si>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</si>
  <si>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</si>
  <si>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</si>
  <si>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</si>
  <si>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</si>
  <si>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</si>
  <si>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</si>
  <si>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</si>
  <si>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</si>
  <si>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</si>
  <si>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</si>
  <si>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</si>
  <si>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</si>
  <si>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</si>
  <si>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</si>
  <si>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</si>
  <si>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</si>
  <si>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</si>
  <si>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</si>
  <si>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</si>
  <si>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</si>
  <si>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</si>
  <si>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</si>
  <si>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</si>
  <si>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</si>
  <si>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</si>
  <si>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</si>
  <si>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</si>
  <si>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</si>
  <si>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</si>
  <si>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</si>
  <si>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</si>
  <si>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</si>
  <si>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</si>
  <si>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</si>
  <si>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</si>
  <si>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</si>
  <si>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</si>
  <si>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</si>
  <si>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</si>
  <si>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</si>
  <si>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</si>
  <si>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</si>
  <si>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</si>
  <si>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</si>
  <si>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</si>
  <si>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</si>
  <si>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</si>
  <si>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</si>
  <si>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</si>
  <si>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</si>
  <si>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</si>
  <si>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</si>
  <si>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</si>
  <si>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</si>
  <si>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</si>
  <si>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</si>
  <si>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</si>
  <si>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</si>
  <si>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</si>
  <si>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</si>
  <si>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</si>
  <si>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</si>
  <si>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</si>
  <si>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</si>
  <si>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</si>
  <si>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</si>
  <si>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</si>
  <si>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</si>
  <si>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</si>
  <si>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</si>
  <si>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</si>
  <si>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</si>
  <si>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</si>
  <si>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</si>
  <si>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</si>
  <si>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</si>
  <si>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</si>
  <si>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</si>
  <si>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</si>
  <si>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</si>
  <si>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</si>
  <si>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</si>
  <si>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</si>
  <si>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</si>
  <si>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</si>
  <si>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</si>
  <si>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</si>
  <si>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</si>
  <si>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</si>
  <si>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</si>
  <si>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</si>
  <si>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</si>
  <si>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</si>
  <si>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</si>
  <si>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</si>
  <si>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</si>
  <si>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</si>
  <si>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</si>
  <si>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</si>
  <si>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</si>
  <si>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</si>
  <si>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</si>
  <si>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</si>
  <si>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</si>
  <si>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</si>
  <si>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</si>
  <si>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</si>
  <si>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</si>
  <si>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</si>
  <si>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</si>
  <si>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</si>
  <si>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</si>
  <si>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</si>
  <si>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</si>
  <si>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</si>
  <si>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</si>
  <si>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</si>
  <si>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</si>
  <si>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</si>
  <si>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</si>
  <si>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</si>
  <si>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</si>
  <si>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GANDIA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</si>
</sst>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ct+Ft4RzVdy4Dq7Pyx7gWrdLW1RQt06txC2bXQHuvgvAps2hC7RiAs/olMk26qd+AclPocaZjUOjskJ6EsTzQ==" saltValue="tOicvV0xH2oPiokI8tUL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20.975155279503106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54</v>
      </c>
      <c r="D10" s="239">
        <f>IF(ISNUMBER(Datos!I10),Datos!I10," - ")</f>
        <v>54</v>
      </c>
      <c r="E10" s="240">
        <f>IF(ISNUMBER(Datos!J10),Datos!J10," - ")</f>
        <v>26</v>
      </c>
      <c r="F10" s="240">
        <f>IF(ISNUMBER(Datos!K10),Datos!K10," - ")</f>
        <v>13</v>
      </c>
      <c r="G10" s="1390" t="str">
        <f>IF(Datos!E10&lt;&gt;"",Datos!E10,Datos!D10)</f>
        <v>37</v>
      </c>
      <c r="H10" s="241">
        <f>IF(ISNUMBER(Datos!L10),Datos!L10," - ")</f>
        <v>67</v>
      </c>
      <c r="I10" s="1400" t="str">
        <f>IF(ISNUMBER(Datos!AS10/Datos!BM10),Datos!AS10/Datos!BM10," - ")</f>
        <v xml:space="preserve"> - </v>
      </c>
      <c r="J10" s="1401">
        <f>IF(ISNUMBER(Datos!BY10/Datos!CN10),Datos!BY10/Datos!CN10," - ")</f>
        <v>0</v>
      </c>
      <c r="K10" s="244">
        <f t="shared" ref="K10:K13" si="1">IF(ISNUMBER((E10-F10)/C10),(E10-F10)/C10," - ")</f>
        <v>0.24074074074074073</v>
      </c>
      <c r="L10" s="1402">
        <f>IF(ISNUMBER(NºAsuntos!I10/NºAsuntos!G10),(NºAsuntos!I10/NºAsuntos!G10)*11," - ")</f>
        <v>56.692307692307693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54</v>
      </c>
      <c r="D14" s="1407">
        <f>SUBTOTAL(9,D9:D13)</f>
        <v>54</v>
      </c>
      <c r="E14" s="1408">
        <f>SUBTOTAL(9,E9:E13)</f>
        <v>26</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1474</v>
      </c>
      <c r="D16" s="239">
        <f>IF(ISNUMBER(IF(D_I="SI",Datos!I16,Datos!I16+Datos!AC16)),IF(D_I="SI",Datos!I16,Datos!I16+Datos!AC16)," - ")</f>
        <v>1412</v>
      </c>
      <c r="E16" s="240">
        <f>IF(ISNUMBER(IF(D_I="SI",Datos!J16,Datos!J16+Datos!AD16)),IF(D_I="SI",Datos!J16,Datos!J16+Datos!AD16)," - ")</f>
        <v>2158</v>
      </c>
      <c r="F16" s="240">
        <f>IF(ISNUMBER(IF(D_I="SI",Datos!K16,Datos!K16+Datos!AE16)),IF(D_I="SI",Datos!K16,Datos!K16+Datos!AE16)," - ")</f>
        <v>2246</v>
      </c>
      <c r="G16" s="1390" t="str">
        <f>IF(Datos!E16&lt;&gt;"",Datos!E16,Datos!D16)</f>
        <v>03</v>
      </c>
      <c r="H16" s="241">
        <f>IF(ISNUMBER(IF(D_I="SI",Datos!L16,Datos!L16+Datos!AF16)),IF(D_I="SI",Datos!L16,Datos!L16+Datos!AF16)," - ")</f>
        <v>1386</v>
      </c>
      <c r="I16" s="1400" t="str">
        <f>IF(ISNUMBER(Datos!AS16/Datos!BM16),Datos!AS16/Datos!BM16," - ")</f>
        <v xml:space="preserve"> - </v>
      </c>
      <c r="J16" s="1401">
        <f>IF(ISNUMBER(Datos!BY16/Datos!CN16),Datos!BY16/Datos!CN16," - ")</f>
        <v>0</v>
      </c>
      <c r="K16" s="244">
        <f t="shared" ref="K16:K22" si="3">IF(ISNUMBER((E16-F16)/C16),(E16-F16)/C16," - ")</f>
        <v>-5.9701492537313432E-2</v>
      </c>
      <c r="L16" s="1402">
        <f>IF(ISNUMBER(NºAsuntos!I16/NºAsuntos!G16),(NºAsuntos!I16/NºAsuntos!G16)*11," - ")</f>
        <v>6.788067675868211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0</v>
      </c>
      <c r="D17" s="239">
        <f>IF(ISNUMBER(IF(D_I="SI",Datos!I17,Datos!I17+Datos!AC17)),IF(D_I="SI",Datos!I17,Datos!I17+Datos!AC17)," - ")</f>
        <v>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99</v>
      </c>
      <c r="D18" s="239">
        <f>IF(ISNUMBER(IF(D_I="SI",Datos!I18,Datos!I18+Datos!AC18)),IF(D_I="SI",Datos!I18,Datos!I18+Datos!AC18)," - ")</f>
        <v>99</v>
      </c>
      <c r="E18" s="240">
        <f>IF(ISNUMBER(IF(D_I="SI",Datos!J18,Datos!J18+Datos!AD18)),IF(D_I="SI",Datos!J18,Datos!J18+Datos!AD18)," - ")</f>
        <v>244</v>
      </c>
      <c r="F18" s="240">
        <f>IF(ISNUMBER(IF(D_I="SI",Datos!K18,Datos!K18+Datos!AE18)),IF(D_I="SI",Datos!K18,Datos!K18+Datos!AE18)," - ")</f>
        <v>251</v>
      </c>
      <c r="G18" s="1390" t="str">
        <f>IF(Datos!E18&lt;&gt;"",Datos!E18,Datos!D18)</f>
        <v>37</v>
      </c>
      <c r="H18" s="241">
        <f>IF(ISNUMBER(IF(D_I="SI",Datos!L18,Datos!L18+Datos!AF18)),IF(D_I="SI",Datos!L18,Datos!L18+Datos!AF18)," - ")</f>
        <v>92</v>
      </c>
      <c r="I18" s="1400" t="str">
        <f>IF(ISNUMBER(Datos!AS18/Datos!BM18),Datos!AS18/Datos!BM18," - ")</f>
        <v xml:space="preserve"> - </v>
      </c>
      <c r="J18" s="1401" t="str">
        <f>IF(ISNUMBER((Datos!BY18+Datos!BZ18)/Datos!CN18),(Datos!BY18+Datos!BZ18)/Datos!CN18," - ")</f>
        <v xml:space="preserve"> - </v>
      </c>
      <c r="K18" s="244">
        <f t="shared" si="3"/>
        <v>-7.0707070707070704E-2</v>
      </c>
      <c r="L18" s="1402">
        <f>IF(ISNUMBER(NºAsuntos!I18/NºAsuntos!G18),(NºAsuntos!I18/NºAsuntos!G18)*11," - ")</f>
        <v>4.0318725099601593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1573</v>
      </c>
      <c r="D23" s="1407">
        <f>SUBTOTAL(9,D16:D22)</f>
        <v>1511</v>
      </c>
      <c r="E23" s="1408">
        <f>SUBTOTAL(9,E16:E22)</f>
        <v>2402</v>
      </c>
      <c r="F23" s="1408">
        <f>SUBTOTAL(9,F16:F22)</f>
        <v>2497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1627</v>
      </c>
      <c r="D31" s="1435">
        <f>SUBTOTAL(9,D9:D30)</f>
        <v>1565</v>
      </c>
      <c r="E31" s="1436">
        <f>SUBTOTAL(9,E9:E30)</f>
        <v>2428</v>
      </c>
      <c r="F31" s="1436">
        <f>SUBTOTAL(9,F9:F30)</f>
        <v>2510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qyRI6Fc3pZDeLPC80lx7aEatBFSl1gUcyStVsRcn4xC8Kpipjyd5CNg6lz3MF86GkJlaA8de9//wGrSEHsSJ8A==" saltValue="q7TC1K4fHrOVVTjCUnKr+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P7HsjtmAC6D1h2+wfnBjAt2+H/IDNXsHb5q5YeGNr6z856xoI9fDeKLGHhpNt9rBdxh8NTAserjl1gwITZHJA==" saltValue="XdUXAyS6UfV6BKvkE2O6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4177</v>
      </c>
      <c r="J9" s="194">
        <v>2371</v>
      </c>
      <c r="K9" s="194">
        <v>2179</v>
      </c>
      <c r="L9" s="194">
        <v>4369</v>
      </c>
      <c r="M9" s="194">
        <v>364</v>
      </c>
      <c r="N9" s="194">
        <v>914</v>
      </c>
      <c r="O9" s="194">
        <v>1493</v>
      </c>
      <c r="P9" s="194">
        <v>550</v>
      </c>
      <c r="Q9" s="194">
        <v>483</v>
      </c>
      <c r="R9" s="194">
        <v>7393</v>
      </c>
      <c r="S9" s="194">
        <v>3768</v>
      </c>
      <c r="T9" s="194">
        <v>1735</v>
      </c>
      <c r="U9" s="194">
        <v>1643</v>
      </c>
      <c r="V9" s="194">
        <v>3860</v>
      </c>
      <c r="W9" s="194">
        <v>444</v>
      </c>
      <c r="X9" s="201">
        <v>649</v>
      </c>
      <c r="Y9" s="204">
        <v>240</v>
      </c>
      <c r="Z9" s="194">
        <v>232</v>
      </c>
      <c r="AA9" s="194">
        <v>236</v>
      </c>
      <c r="AB9" s="194">
        <v>236</v>
      </c>
      <c r="AC9" s="194">
        <v>0</v>
      </c>
      <c r="AD9" s="194">
        <v>0</v>
      </c>
      <c r="AE9" s="194">
        <v>0</v>
      </c>
      <c r="AF9" s="201">
        <v>0</v>
      </c>
      <c r="AG9" s="204">
        <v>235</v>
      </c>
      <c r="AH9" s="194">
        <v>221</v>
      </c>
      <c r="AI9" s="194">
        <v>190</v>
      </c>
      <c r="AJ9" s="205">
        <v>266</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4003</v>
      </c>
      <c r="AZ9" s="133">
        <f>IF(ISNUMBER(IF(J_V="SI",T9,T9+AH9)),IF(J_V="SI",T9,T9+AH9)," - ")</f>
        <v>1956</v>
      </c>
      <c r="BA9" s="134">
        <f>IF(ISNUMBER(IF(J_V="SI",U9,U9+AI9)),IF(J_V="SI",U9,U9+AI9)," - ")</f>
        <v>1833</v>
      </c>
      <c r="BB9" s="134">
        <f>IF(ISNUMBER(IF(J_V="SI",V9,V9+AJ9)),IF(J_V="SI",V9,V9+AJ9)," - ")</f>
        <v>4126</v>
      </c>
      <c r="BC9" s="135">
        <f>IF(ISNUMBER(X9),X9," - ")</f>
        <v>649</v>
      </c>
      <c r="BD9" s="136">
        <f>IF(ISNUMBER(BA9/AZ9),BA9/AZ9," - ")</f>
        <v>0.93711656441717794</v>
      </c>
      <c r="BE9" s="137">
        <f>IF(ISNUMBER(BB9/BA9),BB9/BA9, " - ")</f>
        <v>2.2509547190398256</v>
      </c>
      <c r="BF9" s="137">
        <f>IF(ISNUMBER(BC9/BA9),BC9/BA9, " - ")</f>
        <v>0.35406437534097107</v>
      </c>
      <c r="BG9" s="209">
        <f>IF(ISNUMBER((AY9+AZ9)/BA9),(AY9+AZ9)/BA9," - ")</f>
        <v>3.2509547190398256</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54</v>
      </c>
      <c r="J10" s="194">
        <v>26</v>
      </c>
      <c r="K10" s="194">
        <v>13</v>
      </c>
      <c r="L10" s="194">
        <v>67</v>
      </c>
      <c r="M10" s="194">
        <v>3</v>
      </c>
      <c r="N10" s="194">
        <v>7</v>
      </c>
      <c r="O10" s="194">
        <v>6</v>
      </c>
      <c r="P10" s="194">
        <v>7</v>
      </c>
      <c r="Q10" s="194">
        <v>6</v>
      </c>
      <c r="R10" s="194">
        <v>61</v>
      </c>
      <c r="S10" s="194">
        <v>40</v>
      </c>
      <c r="T10" s="194">
        <v>22</v>
      </c>
      <c r="U10" s="194">
        <v>22</v>
      </c>
      <c r="V10" s="194">
        <v>40</v>
      </c>
      <c r="W10" s="194">
        <v>13</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40</v>
      </c>
      <c r="AZ10" s="139">
        <f t="shared" si="0"/>
        <v>22</v>
      </c>
      <c r="BA10" s="139">
        <f t="shared" si="0"/>
        <v>22</v>
      </c>
      <c r="BB10" s="139">
        <f t="shared" si="0"/>
        <v>40</v>
      </c>
      <c r="BC10" s="135">
        <f t="shared" si="0"/>
        <v>13</v>
      </c>
      <c r="BD10" s="136">
        <f>IF(ISNUMBER(BA10/AZ10),BA10/AZ10," - ")</f>
        <v>1</v>
      </c>
      <c r="BE10" s="137">
        <f>IF(ISNUMBER(BB10/BA10),BB10/BA10, " - ")</f>
        <v>1.8181818181818181</v>
      </c>
      <c r="BF10" s="137">
        <f>IF(ISNUMBER(BC10/BA10),BC10/BA10, " - ")</f>
        <v>0.59090909090909094</v>
      </c>
      <c r="BG10" s="209">
        <f>IF(ISNUMBER((AY10+AZ10)/BA10),(AY10+AZ10)/BA10," - ")</f>
        <v>2.8181818181818183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v>
      </c>
      <c r="J12" s="196">
        <v>0</v>
      </c>
      <c r="K12" s="196">
        <v>0</v>
      </c>
      <c r="L12" s="196">
        <v>1</v>
      </c>
      <c r="M12" s="196">
        <v>0</v>
      </c>
      <c r="N12" s="196">
        <v>0</v>
      </c>
      <c r="O12" s="194">
        <v>1</v>
      </c>
      <c r="P12" s="196">
        <v>186</v>
      </c>
      <c r="Q12" s="196">
        <v>1</v>
      </c>
      <c r="R12" s="196">
        <v>281</v>
      </c>
      <c r="S12" s="196">
        <v>2</v>
      </c>
      <c r="T12" s="196">
        <v>0</v>
      </c>
      <c r="U12" s="196">
        <v>1</v>
      </c>
      <c r="V12" s="196">
        <v>1</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2</v>
      </c>
      <c r="AZ12" s="137">
        <f t="shared" si="1"/>
        <v>0</v>
      </c>
      <c r="BA12" s="137">
        <f t="shared" si="1"/>
        <v>1</v>
      </c>
      <c r="BB12" s="137">
        <f t="shared" si="1"/>
        <v>1</v>
      </c>
      <c r="BC12" s="135">
        <f>IF(ISNUMBER(X12),X12," - ")</f>
        <v>0</v>
      </c>
      <c r="BD12" s="136" t="str">
        <f t="shared" si="2"/>
        <v xml:space="preserve"> - </v>
      </c>
      <c r="BE12" s="137">
        <f t="shared" si="3"/>
        <v>1</v>
      </c>
      <c r="BF12" s="137">
        <f t="shared" si="4"/>
        <v>0</v>
      </c>
      <c r="BG12" s="209">
        <f t="shared" si="5"/>
        <v>2</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4232</v>
      </c>
      <c r="J14" s="197">
        <f t="shared" si="7"/>
        <v>2397</v>
      </c>
      <c r="K14" s="197">
        <f t="shared" si="7"/>
        <v>2192</v>
      </c>
      <c r="L14" s="197">
        <f t="shared" si="7"/>
        <v>4437</v>
      </c>
      <c r="M14" s="197">
        <f t="shared" si="7"/>
        <v>367</v>
      </c>
      <c r="N14" s="197">
        <f t="shared" si="7"/>
        <v>921</v>
      </c>
      <c r="O14" s="197">
        <f t="shared" si="7"/>
        <v>1500</v>
      </c>
      <c r="P14" s="197">
        <f t="shared" si="7"/>
        <v>743</v>
      </c>
      <c r="Q14" s="197">
        <f t="shared" si="7"/>
        <v>490</v>
      </c>
      <c r="R14" s="197">
        <f t="shared" si="7"/>
        <v>7735</v>
      </c>
      <c r="S14" s="197">
        <f t="shared" si="7"/>
        <v>3810</v>
      </c>
      <c r="T14" s="197">
        <f t="shared" si="7"/>
        <v>1757</v>
      </c>
      <c r="U14" s="197">
        <f t="shared" si="7"/>
        <v>1666</v>
      </c>
      <c r="V14" s="197">
        <f t="shared" si="7"/>
        <v>3901</v>
      </c>
      <c r="W14" s="197">
        <f t="shared" si="7"/>
        <v>457</v>
      </c>
      <c r="X14" s="197">
        <f t="shared" si="7"/>
        <v>658</v>
      </c>
      <c r="Y14" s="197">
        <f t="shared" si="7"/>
        <v>240</v>
      </c>
      <c r="Z14" s="197">
        <f t="shared" si="7"/>
        <v>232</v>
      </c>
      <c r="AA14" s="197">
        <f t="shared" si="7"/>
        <v>236</v>
      </c>
      <c r="AB14" s="197">
        <f t="shared" si="7"/>
        <v>236</v>
      </c>
      <c r="AC14" s="197">
        <f t="shared" si="7"/>
        <v>0</v>
      </c>
      <c r="AD14" s="197">
        <f t="shared" si="7"/>
        <v>0</v>
      </c>
      <c r="AE14" s="197">
        <f t="shared" si="7"/>
        <v>0</v>
      </c>
      <c r="AF14" s="197">
        <f>SUBTOTAL(9,AF9:AF13)</f>
        <v>0</v>
      </c>
      <c r="AG14" s="197">
        <f t="shared" ref="AG14:AT14" si="8">SUBTOTAL(9,AG8:AG13)</f>
        <v>235</v>
      </c>
      <c r="AH14" s="197">
        <f t="shared" si="8"/>
        <v>221</v>
      </c>
      <c r="AI14" s="197">
        <f t="shared" si="8"/>
        <v>190</v>
      </c>
      <c r="AJ14" s="197">
        <f t="shared" si="8"/>
        <v>266</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4045</v>
      </c>
      <c r="AZ14" s="197">
        <f>SUBTOTAL(9,AZ8:AZ13)</f>
        <v>1978</v>
      </c>
      <c r="BA14" s="197">
        <f>SUBTOTAL(9,BA8:BA13)</f>
        <v>1856</v>
      </c>
      <c r="BB14" s="197">
        <f>SUBTOTAL(9,BB8:BB13)</f>
        <v>4167</v>
      </c>
      <c r="BC14" s="197">
        <f>SUBTOTAL(9,BC8:BC13)</f>
        <v>662</v>
      </c>
      <c r="BD14" s="219">
        <f>IF(ISNUMBER(BA14/AZ14),BA14/AZ14," - ")</f>
        <v>0.93832153690596565</v>
      </c>
      <c r="BE14" s="220">
        <f>IF(ISNUMBER(BB14/BA14),BB14/BA14, " - ")</f>
        <v>2.2451508620689653</v>
      </c>
      <c r="BF14" s="220">
        <f>IF(ISNUMBER(BC14/BA14),BC14/BA14, " - ")</f>
        <v>0.35668103448275862</v>
      </c>
      <c r="BG14" s="221">
        <f>IF(ISNUMBER((AY14+AZ14)/BA14),(AY14+AZ14)/BA14," - ")</f>
        <v>3.2451508620689653</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1412</v>
      </c>
      <c r="J16" s="196">
        <v>2158</v>
      </c>
      <c r="K16" s="196">
        <v>2246</v>
      </c>
      <c r="L16" s="196">
        <v>1386</v>
      </c>
      <c r="M16" s="196">
        <v>423</v>
      </c>
      <c r="N16" s="196">
        <v>1226</v>
      </c>
      <c r="O16" s="194">
        <v>81</v>
      </c>
      <c r="P16" s="196">
        <v>102</v>
      </c>
      <c r="Q16" s="196">
        <v>93</v>
      </c>
      <c r="R16" s="196">
        <v>313</v>
      </c>
      <c r="S16" s="196">
        <v>1215</v>
      </c>
      <c r="T16" s="196">
        <v>2219</v>
      </c>
      <c r="U16" s="196">
        <v>2079</v>
      </c>
      <c r="V16" s="196">
        <v>1409</v>
      </c>
      <c r="W16" s="196">
        <v>398</v>
      </c>
      <c r="X16" s="202">
        <v>1034</v>
      </c>
      <c r="Y16" s="215">
        <v>0</v>
      </c>
      <c r="Z16" s="196">
        <v>0</v>
      </c>
      <c r="AA16" s="196">
        <v>0</v>
      </c>
      <c r="AB16" s="196">
        <v>0</v>
      </c>
      <c r="AC16" s="196">
        <v>0</v>
      </c>
      <c r="AD16" s="196">
        <v>12</v>
      </c>
      <c r="AE16" s="196">
        <v>12</v>
      </c>
      <c r="AF16" s="202">
        <v>0</v>
      </c>
      <c r="AG16" s="215">
        <v>0</v>
      </c>
      <c r="AH16" s="196">
        <v>0</v>
      </c>
      <c r="AI16" s="196">
        <v>0</v>
      </c>
      <c r="AJ16" s="216">
        <v>0</v>
      </c>
      <c r="AK16" s="195">
        <v>0</v>
      </c>
      <c r="AL16" s="196">
        <v>17</v>
      </c>
      <c r="AM16" s="196">
        <v>17</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1215</v>
      </c>
      <c r="AZ16" s="139">
        <f t="shared" si="10"/>
        <v>2219</v>
      </c>
      <c r="BA16" s="139">
        <f t="shared" si="10"/>
        <v>2079</v>
      </c>
      <c r="BB16" s="139">
        <f t="shared" si="10"/>
        <v>1409</v>
      </c>
      <c r="BC16" s="135">
        <f>IF(ISNUMBER(W16),W16," - ")</f>
        <v>398</v>
      </c>
      <c r="BD16" s="136">
        <f>IF(ISNUMBER(BA16/AZ16),BA16/AZ16," - ")</f>
        <v>0.93690851735015768</v>
      </c>
      <c r="BE16" s="137">
        <f>IF(ISNUMBER(BB16/BA16),BB16/BA16, " - ")</f>
        <v>0.67772967772967774</v>
      </c>
      <c r="BF16" s="137">
        <f>IF(ISNUMBER(BC16/BA16),BC16/BA16, " - ")</f>
        <v>0.19143819143819144</v>
      </c>
      <c r="BG16" s="209">
        <f t="shared" ref="BG16:BG22" si="11">IF(ISNUMBER((AY16+AZ16)/BA16),(AY16+AZ16)/BA16," - ")</f>
        <v>1.6517556517556518</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0</v>
      </c>
      <c r="J17" s="196">
        <v>0</v>
      </c>
      <c r="K17" s="196">
        <v>0</v>
      </c>
      <c r="L17" s="196">
        <v>0</v>
      </c>
      <c r="M17" s="196">
        <v>0</v>
      </c>
      <c r="N17" s="196">
        <v>0</v>
      </c>
      <c r="O17" s="194">
        <v>0</v>
      </c>
      <c r="P17" s="196">
        <v>0</v>
      </c>
      <c r="Q17" s="196">
        <v>0</v>
      </c>
      <c r="R17" s="196">
        <v>0</v>
      </c>
      <c r="S17" s="196">
        <v>2</v>
      </c>
      <c r="T17" s="196">
        <v>0</v>
      </c>
      <c r="U17" s="196">
        <v>2</v>
      </c>
      <c r="V17" s="196">
        <v>0</v>
      </c>
      <c r="W17" s="196">
        <v>0</v>
      </c>
      <c r="X17" s="202">
        <v>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2</v>
      </c>
      <c r="AZ17" s="137">
        <f t="shared" si="10"/>
        <v>0</v>
      </c>
      <c r="BA17" s="137">
        <f t="shared" si="10"/>
        <v>2</v>
      </c>
      <c r="BB17" s="137">
        <f t="shared" si="10"/>
        <v>0</v>
      </c>
      <c r="BC17" s="135">
        <f>IF(ISNUMBER(W17),W17," - ")</f>
        <v>0</v>
      </c>
      <c r="BD17" s="136" t="str">
        <f t="shared" ref="BD17:BD22" si="12">IF(ISNUMBER(BA17/AZ17),BA17/AZ17," - ")</f>
        <v xml:space="preserve"> - </v>
      </c>
      <c r="BE17" s="137">
        <f t="shared" ref="BE17:BE22" si="13">IF(ISNUMBER(BB17/BA17),BB17/BA17, " - ")</f>
        <v>0</v>
      </c>
      <c r="BF17" s="137">
        <f t="shared" ref="BF17:BF22" si="14">IF(ISNUMBER(BC17/BA17),BC17/BA17, " - ")</f>
        <v>0</v>
      </c>
      <c r="BG17" s="209">
        <f t="shared" si="11"/>
        <v>1</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99</v>
      </c>
      <c r="J18" s="196">
        <v>244</v>
      </c>
      <c r="K18" s="196">
        <v>251</v>
      </c>
      <c r="L18" s="196">
        <v>92</v>
      </c>
      <c r="M18" s="196">
        <v>74</v>
      </c>
      <c r="N18" s="196">
        <v>186</v>
      </c>
      <c r="O18" s="196">
        <v>9</v>
      </c>
      <c r="P18" s="196">
        <v>17</v>
      </c>
      <c r="Q18" s="196">
        <v>7</v>
      </c>
      <c r="R18" s="196">
        <v>20</v>
      </c>
      <c r="S18" s="196">
        <v>98</v>
      </c>
      <c r="T18" s="196">
        <v>225</v>
      </c>
      <c r="U18" s="196">
        <v>220</v>
      </c>
      <c r="V18" s="196">
        <v>103</v>
      </c>
      <c r="W18" s="196">
        <v>67</v>
      </c>
      <c r="X18" s="202">
        <v>156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98</v>
      </c>
      <c r="AZ18" s="139">
        <f t="shared" si="15"/>
        <v>225</v>
      </c>
      <c r="BA18" s="139">
        <f t="shared" si="15"/>
        <v>220</v>
      </c>
      <c r="BB18" s="139">
        <f t="shared" si="15"/>
        <v>103</v>
      </c>
      <c r="BC18" s="135">
        <f>IF(ISNUMBER(W18),W18," - ")</f>
        <v>67</v>
      </c>
      <c r="BD18" s="136">
        <f>IF(ISNUMBER(BA18/AZ18),BA18/AZ18," - ")</f>
        <v>0.97777777777777775</v>
      </c>
      <c r="BE18" s="137">
        <f>IF(ISNUMBER(BB18/BA18),BB18/BA18, " - ")</f>
        <v>0.4681818181818182</v>
      </c>
      <c r="BF18" s="137">
        <f>IF(ISNUMBER(BC18/BA18),BC18/BA18, " - ")</f>
        <v>0.30454545454545456</v>
      </c>
      <c r="BG18" s="209">
        <f>IF(ISNUMBER((AY18+AZ18)/BA18),(AY18+AZ18)/BA18," - ")</f>
        <v>1.4681818181818183</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1511</v>
      </c>
      <c r="J23" s="197">
        <f t="shared" si="21"/>
        <v>2402</v>
      </c>
      <c r="K23" s="197">
        <f t="shared" si="21"/>
        <v>2497</v>
      </c>
      <c r="L23" s="197">
        <f t="shared" si="21"/>
        <v>1478</v>
      </c>
      <c r="M23" s="197">
        <f t="shared" si="21"/>
        <v>497</v>
      </c>
      <c r="N23" s="197">
        <f t="shared" si="21"/>
        <v>1412</v>
      </c>
      <c r="O23" s="197">
        <f t="shared" si="21"/>
        <v>90</v>
      </c>
      <c r="P23" s="197">
        <f t="shared" si="21"/>
        <v>119</v>
      </c>
      <c r="Q23" s="197">
        <f t="shared" si="21"/>
        <v>100</v>
      </c>
      <c r="R23" s="197">
        <f t="shared" si="21"/>
        <v>333</v>
      </c>
      <c r="S23" s="197">
        <f t="shared" si="21"/>
        <v>1315</v>
      </c>
      <c r="T23" s="197">
        <f t="shared" si="21"/>
        <v>2444</v>
      </c>
      <c r="U23" s="197">
        <f t="shared" si="21"/>
        <v>2301</v>
      </c>
      <c r="V23" s="197">
        <f t="shared" si="21"/>
        <v>1512</v>
      </c>
      <c r="W23" s="197">
        <f t="shared" si="21"/>
        <v>465</v>
      </c>
      <c r="X23" s="197">
        <f t="shared" si="21"/>
        <v>1191</v>
      </c>
      <c r="Y23" s="197">
        <f t="shared" si="21"/>
        <v>0</v>
      </c>
      <c r="Z23" s="197">
        <f t="shared" si="21"/>
        <v>0</v>
      </c>
      <c r="AA23" s="197">
        <f t="shared" si="21"/>
        <v>0</v>
      </c>
      <c r="AB23" s="197">
        <f t="shared" si="21"/>
        <v>0</v>
      </c>
      <c r="AC23" s="197">
        <f t="shared" si="21"/>
        <v>0</v>
      </c>
      <c r="AD23" s="197">
        <f t="shared" si="21"/>
        <v>12</v>
      </c>
      <c r="AE23" s="197">
        <f t="shared" si="21"/>
        <v>12</v>
      </c>
      <c r="AF23" s="197">
        <f t="shared" si="21"/>
        <v>0</v>
      </c>
      <c r="AG23" s="197">
        <f t="shared" si="21"/>
        <v>0</v>
      </c>
      <c r="AH23" s="197">
        <f t="shared" si="21"/>
        <v>0</v>
      </c>
      <c r="AI23" s="197">
        <f t="shared" si="21"/>
        <v>0</v>
      </c>
      <c r="AJ23" s="197">
        <f t="shared" si="21"/>
        <v>0</v>
      </c>
      <c r="AK23" s="197">
        <f t="shared" si="21"/>
        <v>0</v>
      </c>
      <c r="AL23" s="197">
        <f t="shared" si="21"/>
        <v>17</v>
      </c>
      <c r="AM23" s="197">
        <f t="shared" si="21"/>
        <v>17</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1315</v>
      </c>
      <c r="AZ23" s="197">
        <f>SUBTOTAL(9,AZ15:AZ22)</f>
        <v>2444</v>
      </c>
      <c r="BA23" s="197">
        <f>SUBTOTAL(9,BA15:BA22)</f>
        <v>2301</v>
      </c>
      <c r="BB23" s="197">
        <f>SUBTOTAL(9,BB15:BB22)</f>
        <v>1512</v>
      </c>
      <c r="BC23" s="197">
        <f>SUBTOTAL(9,BC15:BC22)</f>
        <v>465</v>
      </c>
      <c r="BD23" s="219">
        <f>IF(ISNUMBER(BA23/AZ23),BA23/AZ23," - ")</f>
        <v>0.94148936170212771</v>
      </c>
      <c r="BE23" s="220">
        <f>IF(ISNUMBER(BB23/BA23),BB23/BA23, " - ")</f>
        <v>0.65710560625814862</v>
      </c>
      <c r="BF23" s="220">
        <f>IF(ISNUMBER(BC23/BA23),BC23/BA23, " - ")</f>
        <v>0.20208604954367665</v>
      </c>
      <c r="BG23" s="221">
        <f>IF(ISNUMBER((AY23+AZ23)/BA23),(AY23+AZ23)/BA23," - ")</f>
        <v>1.6336375488917863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5743</v>
      </c>
      <c r="J31" s="144">
        <f t="shared" si="36"/>
        <v>4799</v>
      </c>
      <c r="K31" s="144">
        <f t="shared" si="36"/>
        <v>4689</v>
      </c>
      <c r="L31" s="144">
        <f t="shared" si="36"/>
        <v>5915</v>
      </c>
      <c r="M31" s="144">
        <f t="shared" si="36"/>
        <v>864</v>
      </c>
      <c r="N31" s="144">
        <f t="shared" si="36"/>
        <v>2333</v>
      </c>
      <c r="O31" s="144">
        <f t="shared" si="36"/>
        <v>1590</v>
      </c>
      <c r="P31" s="144">
        <f t="shared" si="36"/>
        <v>862</v>
      </c>
      <c r="Q31" s="144">
        <f t="shared" si="36"/>
        <v>590</v>
      </c>
      <c r="R31" s="144">
        <f t="shared" si="36"/>
        <v>8068</v>
      </c>
      <c r="S31" s="144">
        <f t="shared" si="36"/>
        <v>5125</v>
      </c>
      <c r="T31" s="144">
        <f t="shared" si="36"/>
        <v>4201</v>
      </c>
      <c r="U31" s="144">
        <f t="shared" si="36"/>
        <v>3967</v>
      </c>
      <c r="V31" s="144">
        <f t="shared" si="36"/>
        <v>5413</v>
      </c>
      <c r="W31" s="144">
        <f t="shared" si="36"/>
        <v>922</v>
      </c>
      <c r="X31" s="144">
        <f t="shared" si="36"/>
        <v>1849</v>
      </c>
      <c r="Y31" s="144">
        <f t="shared" si="36"/>
        <v>240</v>
      </c>
      <c r="Z31" s="144">
        <f t="shared" si="36"/>
        <v>232</v>
      </c>
      <c r="AA31" s="144">
        <f t="shared" si="36"/>
        <v>236</v>
      </c>
      <c r="AB31" s="144">
        <f t="shared" si="36"/>
        <v>236</v>
      </c>
      <c r="AC31" s="144">
        <f t="shared" si="36"/>
        <v>0</v>
      </c>
      <c r="AD31" s="144">
        <f t="shared" si="36"/>
        <v>12</v>
      </c>
      <c r="AE31" s="144">
        <f t="shared" si="36"/>
        <v>12</v>
      </c>
      <c r="AF31" s="144">
        <f t="shared" si="36"/>
        <v>0</v>
      </c>
      <c r="AG31" s="144">
        <f t="shared" si="36"/>
        <v>235</v>
      </c>
      <c r="AH31" s="144">
        <f t="shared" si="36"/>
        <v>221</v>
      </c>
      <c r="AI31" s="144">
        <f t="shared" si="36"/>
        <v>190</v>
      </c>
      <c r="AJ31" s="144">
        <f t="shared" si="36"/>
        <v>266</v>
      </c>
      <c r="AK31" s="144">
        <f t="shared" si="36"/>
        <v>0</v>
      </c>
      <c r="AL31" s="144">
        <f t="shared" si="36"/>
        <v>17</v>
      </c>
      <c r="AM31" s="144">
        <f t="shared" si="36"/>
        <v>17</v>
      </c>
      <c r="AN31" s="224">
        <f t="shared" si="36"/>
        <v>0</v>
      </c>
      <c r="AO31" s="225">
        <v>10</v>
      </c>
      <c r="AP31" s="225">
        <v>10</v>
      </c>
      <c r="AQ31" s="225">
        <v>10</v>
      </c>
      <c r="AR31" s="225">
        <v>10</v>
      </c>
      <c r="AS31" s="166">
        <f t="shared" si="36"/>
        <v>0</v>
      </c>
      <c r="AT31" s="166">
        <f t="shared" si="36"/>
        <v>0</v>
      </c>
      <c r="AU31" s="225"/>
      <c r="AV31" s="226"/>
      <c r="AW31" s="225"/>
      <c r="AX31" s="226"/>
      <c r="AY31" s="143">
        <f>SUBTOTAL(9,AY9:AY30)</f>
        <v>5360</v>
      </c>
      <c r="AZ31" s="144">
        <f>SUBTOTAL(9,AZ9:AZ30)</f>
        <v>4422</v>
      </c>
      <c r="BA31" s="144">
        <f>SUBTOTAL(9,BA9:BA30)</f>
        <v>4157</v>
      </c>
      <c r="BB31" s="144">
        <f>SUBTOTAL(9,BB9:BB30)</f>
        <v>5679</v>
      </c>
      <c r="BC31" s="145">
        <f>SUBTOTAL(9,BC9:BC30)</f>
        <v>1127</v>
      </c>
      <c r="BD31" s="227">
        <f>IF(ISNUMBER(BA31/AZ31),BA31/AZ31," - ")</f>
        <v>0.94007236544549977</v>
      </c>
      <c r="BE31" s="224">
        <f>IF(ISNUMBER(BB31/BA31),BB31/BA31, " - ")</f>
        <v>1.3661294202549916</v>
      </c>
      <c r="BF31" s="224">
        <f>IF(ISNUMBER(BC31/BA31),BC31/BA31, " - ")</f>
        <v>0.2711089728169353</v>
      </c>
      <c r="BG31" s="145">
        <f>IF(ISNUMBER((AY31+AZ31)/BA31),(AY31+AZ31)/BA31," - ")</f>
        <v>2.3531392831368776</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NfJnx5yw6its+r66MPCGF9OYD2Jc54iNJiSLxfxVCzDYyLzQBJM//DOacuVmhJrWqtHSl/vw/wGTJAewVCaNQ==" saltValue="8AUXulnvCLqcgRvGQ8pM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6OUabNbSYZmc1xFO2wG7XvwGnQpHm4IQt12oIin9onnYEXEIO4XqA9CAvZT+xhRdwWDZkgmBf8JoFe3MBY0Bg==" saltValue="tMt+o/PVfcBlgUZ1q2Q9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GANDIA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232</v>
      </c>
      <c r="O9" s="549"/>
      <c r="P9" s="549"/>
      <c r="Q9" s="547">
        <f>IF(ISNUMBER(Datos!P9),Datos!P9,0)</f>
        <v>550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483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236</v>
      </c>
      <c r="AI9" s="549" t="str">
        <f>IF(ISNUMBER(Datos!CD9),Datos!CD9,"-")</f>
        <v>-</v>
      </c>
      <c r="AJ9" s="549" t="str">
        <f>IF(ISNUMBER(Datos!EN9),Datos!EN9," - ")</f>
        <v xml:space="preserve"> - </v>
      </c>
      <c r="AK9" s="549"/>
      <c r="AL9" s="550"/>
      <c r="AM9" s="766">
        <f>IF(ISNUMBER(Datos!R9),Datos!R9," - ")</f>
        <v>7393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364</v>
      </c>
      <c r="BD9" s="693">
        <f>IF(ISNUMBER(Datos!N9),Datos!N9," - ")</f>
        <v>914</v>
      </c>
      <c r="BE9" s="693" t="str">
        <f>IF(ISNUMBER(Datos!BW9),Datos!BW9," - ")</f>
        <v xml:space="preserve"> - </v>
      </c>
      <c r="BF9" s="762" t="str">
        <f>IF(ISNUMBER(Datos!BX9),Datos!BX9," - ")</f>
        <v xml:space="preserve"> - </v>
      </c>
      <c r="BG9" s="763">
        <f>IF(ISNUMBER(IF(J_V="SI",Datos!K9/Datos!J9,(Datos!K9+Datos!AA9)/(Datos!J9+Datos!Z9))),IF(J_V="SI",Datos!K9/Datos!J9,(Datos!K9+Datos!AA9)/(Datos!J9+Datos!Z9))," - ")</f>
        <v>0.92777564348828279</v>
      </c>
      <c r="BH9" s="764">
        <f>IF(ISNUMBER(((IF(J_V="SI",Datos!L9/Datos!K9,(Datos!L9+Datos!AB9)/(Datos!K9+Datos!AA9)))*11)/factor_trimestre),((IF(J_V="SI",Datos!L9/Datos!K9,(Datos!L9+Datos!AB9)/(Datos!K9+Datos!AA9)))*11)/factor_trimestre," - ")</f>
        <v>5.7204968944099379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9.145509145509146E-3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54</v>
      </c>
      <c r="G10" s="543">
        <f>IF(ISNUMBER(Datos!I10),Datos!I10," - ")</f>
        <v>54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6</v>
      </c>
      <c r="AD10" s="549"/>
      <c r="AE10" s="563"/>
      <c r="AF10" s="551">
        <f>IF(ISNUMBER(Datos!L10),Datos!L10,"-")</f>
        <v>67</v>
      </c>
      <c r="AG10" s="549"/>
      <c r="AH10" s="549"/>
      <c r="AI10" s="549"/>
      <c r="AJ10" s="549"/>
      <c r="AK10" s="549"/>
      <c r="AL10" s="550"/>
      <c r="AM10" s="766">
        <f>IF(ISNUMBER(Datos!R10),Datos!R10," - ")</f>
        <v>61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7</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15.461538461538462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1.6666666666666666E-2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186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281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1.9270833333333333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54</v>
      </c>
      <c r="G14" s="1197">
        <f t="shared" si="1"/>
        <v>54</v>
      </c>
      <c r="H14" s="1198">
        <f t="shared" si="1"/>
        <v>0</v>
      </c>
      <c r="I14" s="1197">
        <f t="shared" si="1"/>
        <v>0</v>
      </c>
      <c r="J14" s="1164">
        <f t="shared" si="1"/>
        <v>0</v>
      </c>
      <c r="K14" s="1164">
        <f t="shared" si="1"/>
        <v>0</v>
      </c>
      <c r="L14" s="1198">
        <f t="shared" si="1"/>
        <v>0</v>
      </c>
      <c r="M14" s="1198">
        <f t="shared" si="1"/>
        <v>0</v>
      </c>
      <c r="N14" s="1198">
        <f t="shared" si="1"/>
        <v>232</v>
      </c>
      <c r="O14" s="1199">
        <f t="shared" si="1"/>
        <v>0</v>
      </c>
      <c r="P14" s="1199">
        <f t="shared" si="1"/>
        <v>0</v>
      </c>
      <c r="Q14" s="1198">
        <f t="shared" si="1"/>
        <v>743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490</v>
      </c>
      <c r="AD14" s="1198">
        <f t="shared" si="2"/>
        <v>0</v>
      </c>
      <c r="AE14" s="1198">
        <f t="shared" si="2"/>
        <v>0</v>
      </c>
      <c r="AF14" s="1198">
        <f t="shared" si="2"/>
        <v>67</v>
      </c>
      <c r="AG14" s="1198">
        <f t="shared" si="2"/>
        <v>0</v>
      </c>
      <c r="AH14" s="1198">
        <f t="shared" si="2"/>
        <v>236</v>
      </c>
      <c r="AI14" s="1198">
        <f t="shared" si="2"/>
        <v>0</v>
      </c>
      <c r="AJ14" s="1198">
        <f t="shared" si="2"/>
        <v>0</v>
      </c>
      <c r="AK14" s="1198">
        <f t="shared" si="2"/>
        <v>0</v>
      </c>
      <c r="AL14" s="1198">
        <f t="shared" si="2"/>
        <v>0</v>
      </c>
      <c r="AM14" s="1198">
        <f t="shared" si="2"/>
        <v>7735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367</v>
      </c>
      <c r="BD14" s="1198">
        <f t="shared" si="2"/>
        <v>921</v>
      </c>
      <c r="BE14" s="1198">
        <f t="shared" si="2"/>
        <v>0</v>
      </c>
      <c r="BF14" s="1198">
        <f t="shared" si="2"/>
        <v>0</v>
      </c>
      <c r="BG14" s="1198">
        <f>IF(ISNUMBER(Datos!K14/Datos!J14),Datos!K14/Datos!J14," - ")</f>
        <v>0.91447642886942015</v>
      </c>
      <c r="BH14" s="1202">
        <f>IF(ISNUMBER(((Datos!L14/Datos!K14)*11)/factor_trimestre),((Datos!L14/Datos!K14)*11)/factor_trimestre," - ")</f>
        <v>6.0725364963503656</v>
      </c>
      <c r="BI14" s="1198">
        <f>IF(ISNUMBER('Resol  Asuntos'!D14/NºAsuntos!G14),'Resol  Asuntos'!D14/NºAsuntos!G14," - ")</f>
        <v>0.15115321252059308</v>
      </c>
      <c r="BJ14" s="1198" t="str">
        <f>IF(ISNUMBER(Datos!CI14/Datos!CJ14),Datos!CI14/Datos!CJ14," - ")</f>
        <v xml:space="preserve"> - </v>
      </c>
      <c r="BK14" s="1198">
        <f>SUBTOTAL(9,BK8:BK13)</f>
        <v>0</v>
      </c>
      <c r="BL14" s="1198">
        <f>IF(ISNUMBER((I14-AB14+L14)/(F14)),(I14-AB14+L14)/(F14)," - ")</f>
        <v>-0.24074074074074073</v>
      </c>
      <c r="BM14" s="1203">
        <f>SUBTOTAL(9,BM9:BM13)</f>
        <v>1.9528955091455091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1474</v>
      </c>
      <c r="G16" s="743">
        <f>IF(ISNUMBER(IF(D_I="SI",Datos!I16,Datos!I16+Datos!AC16)),IF(D_I="SI",Datos!I16,Datos!I16+Datos!AC16)," - ")</f>
        <v>1412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2246</v>
      </c>
      <c r="AC16" s="240">
        <f>IF(ISNUMBER(Datos!Q16),Datos!Q16," - ")</f>
        <v>93</v>
      </c>
      <c r="AD16" s="374"/>
      <c r="AE16" s="562"/>
      <c r="AF16" s="741">
        <f>IF(ISNUMBER(IF(D_I="SI",Datos!L16,Datos!L16+Datos!AF16)),IF(D_I="SI",Datos!L16,Datos!L16+Datos!AF16)," - ")</f>
        <v>1386</v>
      </c>
      <c r="AG16" s="374"/>
      <c r="AH16" s="374"/>
      <c r="AI16" s="374"/>
      <c r="AJ16" s="549"/>
      <c r="AK16" s="374"/>
      <c r="AL16" s="545"/>
      <c r="AM16" s="375">
        <f>IF(ISNUMBER(Datos!R16),Datos!R16," - ")</f>
        <v>313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423</v>
      </c>
      <c r="BD16" s="243">
        <f>IF(ISNUMBER(Datos!N16),Datos!N16," - ")</f>
        <v>1226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1.0407784986098239</v>
      </c>
      <c r="BH16" s="764">
        <f>IF(ISNUMBER(((IF(D_I="SI",Datos!L16/Datos!K16,(Datos!L16+Datos!AF16)/(Datos!K16+Datos!AE16)))*11)/factor_trimestre),((IF(D_I="SI",Datos!L16/Datos!K16,(Datos!L16+Datos!AF16)/(Datos!K16+Datos!AE16)))*11)/factor_trimestre," - ")</f>
        <v>1.851291184327694</v>
      </c>
      <c r="BI16" s="266">
        <f>IF(ISNUMBER('Resol  Asuntos'!D16/NºAsuntos!G16),'Resol  Asuntos'!D16/NºAsuntos!G16," - ")</f>
        <v>0.18833481745325023</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0</v>
      </c>
      <c r="G17" s="743">
        <f>IF(ISNUMBER(IF(D_I="SI",Datos!I17,Datos!I17+Datos!AC17)),IF(D_I="SI",Datos!I17,Datos!I17+Datos!AC17)," - ")</f>
        <v>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251</v>
      </c>
      <c r="AC18" s="547">
        <f>IF(ISNUMBER(Datos!Q18),Datos!Q18," - ")</f>
        <v>7</v>
      </c>
      <c r="AD18" s="549"/>
      <c r="AE18" s="562"/>
      <c r="AF18" s="551">
        <f>IF(ISNUMBER(Datos!L18),Datos!L18,"-")</f>
        <v>92</v>
      </c>
      <c r="AG18" s="549"/>
      <c r="AH18" s="549"/>
      <c r="AI18" s="549"/>
      <c r="AJ18" s="549"/>
      <c r="AK18" s="549"/>
      <c r="AL18" s="550"/>
      <c r="AM18" s="766">
        <f>IF(ISNUMBER(Datos!R18),Datos!R18," - ")</f>
        <v>20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74</v>
      </c>
      <c r="BD18" s="693">
        <f>IF(ISNUMBER(Datos!N18),Datos!N18," - ")</f>
        <v>186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1.028688524590164</v>
      </c>
      <c r="BH18" s="764">
        <f>IF(ISNUMBER(((IF(D_I="SI",Datos!L18/Datos!K18,(Datos!L18+Datos!AF18)/(Datos!K18+Datos!AE18)))*11)/factor_trimestre),((IF(D_I="SI",Datos!L18/Datos!K18,(Datos!L18+Datos!AF18)/(Datos!K18+Datos!AE18)))*11)/factor_trimestre," - ")</f>
        <v>1.0996015936254981</v>
      </c>
      <c r="BI18" s="763">
        <f>IF(ISNUMBER('Resol  Asuntos'!D18/NºAsuntos!G18),'Resol  Asuntos'!D18/NºAsuntos!G18," - ")</f>
        <v>0.29482071713147412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1474</v>
      </c>
      <c r="G23" s="1197">
        <f>SUBTOTAL(9,G16:G22)</f>
        <v>1511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2497</v>
      </c>
      <c r="AC23" s="1198">
        <f t="shared" si="5"/>
        <v>100</v>
      </c>
      <c r="AD23" s="1198">
        <f t="shared" si="5"/>
        <v>0</v>
      </c>
      <c r="AE23" s="1198">
        <f t="shared" si="5"/>
        <v>0</v>
      </c>
      <c r="AF23" s="1198">
        <f t="shared" si="5"/>
        <v>1478</v>
      </c>
      <c r="AG23" s="1198">
        <f t="shared" si="5"/>
        <v>0</v>
      </c>
      <c r="AH23" s="1198">
        <f t="shared" si="5"/>
        <v>0</v>
      </c>
      <c r="AI23" s="1198">
        <f t="shared" si="5"/>
        <v>0</v>
      </c>
      <c r="AJ23" s="1198">
        <f t="shared" si="5"/>
        <v>0</v>
      </c>
      <c r="AK23" s="1198">
        <f t="shared" si="5"/>
        <v>0</v>
      </c>
      <c r="AL23" s="1198">
        <f t="shared" si="5"/>
        <v>0</v>
      </c>
      <c r="AM23" s="1198">
        <f t="shared" si="5"/>
        <v>333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497</v>
      </c>
      <c r="BD23" s="1198">
        <f t="shared" si="5"/>
        <v>1412</v>
      </c>
      <c r="BE23" s="1198">
        <f t="shared" si="5"/>
        <v>0</v>
      </c>
      <c r="BF23" s="1198">
        <f t="shared" si="5"/>
        <v>0</v>
      </c>
      <c r="BG23" s="1198">
        <f>IF(ISNUMBER(Datos!K23/Datos!J23),Datos!K23/Datos!J23," - ")</f>
        <v>1.0395503746877601</v>
      </c>
      <c r="BH23" s="1202">
        <f>IF(ISNUMBER(((Datos!L23/Datos!K23)*11)/factor_trimestre),((Datos!L23/Datos!K23)*11)/factor_trimestre," - ")</f>
        <v>1.7757308770524629</v>
      </c>
      <c r="BI23" s="1198">
        <f>SUBTOTAL(9,BI16:BI22)</f>
        <v>0.48315553458472438</v>
      </c>
      <c r="BJ23" s="1198">
        <f>SUBTOTAL(9,BJ16:BJ22)</f>
        <v>0</v>
      </c>
      <c r="BK23" s="1198">
        <f>SUBTOTAL(9,BK16:BK22)</f>
        <v>0</v>
      </c>
      <c r="BL23" s="1198">
        <f>IF(ISNUMBER((I23-AB23+L23)/(F23)),(I23-AB23+L23)/(F23)," - ")</f>
        <v>-1.6940298507462686</v>
      </c>
      <c r="BM23" s="1205">
        <f>IF(ISNUMBER((Datos!P23-Datos!Q23)/(Datos!R23-Datos!P23+Datos!Q23)),(Datos!P23-Datos!Q23)/(Datos!R23-Datos!P23+Datos!Q23)," - ")</f>
        <v>6.0509554140127389E-2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1528</v>
      </c>
      <c r="G31" s="1117">
        <f t="shared" si="18"/>
        <v>1565</v>
      </c>
      <c r="H31" s="1119">
        <f t="shared" si="18"/>
        <v>0</v>
      </c>
      <c r="I31" s="1117">
        <f t="shared" si="18"/>
        <v>0</v>
      </c>
      <c r="J31" s="1119">
        <f t="shared" si="18"/>
        <v>0</v>
      </c>
      <c r="K31" s="1119">
        <f t="shared" si="18"/>
        <v>0</v>
      </c>
      <c r="L31" s="1180">
        <f t="shared" si="18"/>
        <v>0</v>
      </c>
      <c r="M31" s="1180">
        <f t="shared" si="18"/>
        <v>0</v>
      </c>
      <c r="N31" s="1180">
        <f t="shared" si="18"/>
        <v>232</v>
      </c>
      <c r="O31" s="1180">
        <f t="shared" si="18"/>
        <v>0</v>
      </c>
      <c r="P31" s="1180">
        <f t="shared" si="18"/>
        <v>0</v>
      </c>
      <c r="Q31" s="1119">
        <f t="shared" si="18"/>
        <v>862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2510</v>
      </c>
      <c r="AC31" s="1118">
        <f t="shared" si="19"/>
        <v>590</v>
      </c>
      <c r="AD31" s="1118">
        <f t="shared" si="19"/>
        <v>0</v>
      </c>
      <c r="AE31" s="1118">
        <f t="shared" si="19"/>
        <v>0</v>
      </c>
      <c r="AF31" s="1125">
        <f t="shared" si="19"/>
        <v>1545</v>
      </c>
      <c r="AG31" s="1125">
        <f t="shared" si="19"/>
        <v>0</v>
      </c>
      <c r="AH31" s="1125">
        <f t="shared" si="19"/>
        <v>236</v>
      </c>
      <c r="AI31" s="1125">
        <f t="shared" si="19"/>
        <v>0</v>
      </c>
      <c r="AJ31" s="1118">
        <f t="shared" si="19"/>
        <v>0</v>
      </c>
      <c r="AK31" s="1125">
        <f t="shared" si="19"/>
        <v>0</v>
      </c>
      <c r="AL31" s="1125">
        <f t="shared" si="19"/>
        <v>0</v>
      </c>
      <c r="AM31" s="1125">
        <f t="shared" si="19"/>
        <v>8068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864</v>
      </c>
      <c r="BD31" s="1117">
        <f t="shared" si="19"/>
        <v>2333</v>
      </c>
      <c r="BE31" s="1117">
        <f t="shared" si="19"/>
        <v>0</v>
      </c>
      <c r="BF31" s="1127">
        <f t="shared" si="19"/>
        <v>0</v>
      </c>
      <c r="BG31" s="1223">
        <f>IF(ISNUMBER(Datos!K31/Datos!J31),Datos!K31/Datos!J31," - ")</f>
        <v>0.97707855803292354</v>
      </c>
      <c r="BH31" s="1223">
        <f>IF(ISNUMBER(((Datos!L31/Datos!K31)*11)/factor_trimestre),((Datos!L31/Datos!K31)*11)/factor_trimestre," - ")</f>
        <v>3.7843889955214332</v>
      </c>
      <c r="BI31" s="1103">
        <f>IF(ISNUMBER(Datos!J31/Datos!I31),Datos!J31/Datos!I31," - ")</f>
        <v>0.83562597945324746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-1.6426701570680629</v>
      </c>
      <c r="BM31" s="1188">
        <f>IF(ISNUMBER((Datos!P31-Datos!Q31+R31)/(Datos!R31-Datos!P31+Datos!Q31-R31)),(Datos!P31-Datos!Q31+R31)/(Datos!R31-Datos!P31+Datos!Q31-R31)," - ")</f>
        <v>3.4889687018984095E-2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391.25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2.1924911730403043</v>
      </c>
      <c r="F33" s="673">
        <f>IF(ISNUMBER(STDEV(F8:F30)),STDEV(F8:F30),"-")</f>
        <v>709.10997199373276</v>
      </c>
      <c r="G33" s="674">
        <f>IF(ISNUMBER(STDEV(G8:G30)),STDEV(G8:G30),"-")</f>
        <v>662.01915164355864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1081.85119124582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210.82104048484135</v>
      </c>
      <c r="BD33" s="673"/>
      <c r="BE33" s="673">
        <f>IF(ISNUMBER(STDEV(BE8:BE30)),STDEV(BE8:BE30),"-")</f>
        <v>0</v>
      </c>
      <c r="BF33" s="678">
        <f>IF(ISNUMBER(STDEV(BF8:BF30)),STDEV(BF8:BF30),"-")</f>
        <v>0</v>
      </c>
      <c r="BG33" s="1052">
        <f>IF(ISNUMBER(STDEV(BG8:BG30)),STDEV(BG8:BG30),"-")</f>
        <v>0.20803681855622724</v>
      </c>
      <c r="BH33" s="1058">
        <f>IF(ISNUMBER(STDEV(BH8:BH30)),STDEV(BH8:BH30),"-")</f>
        <v>5.4033773573870132</v>
      </c>
      <c r="BI33" s="273">
        <f>IF(ISNUMBER(STDEV(BI8:BI30)),STDEV(BI8:BI30),"-")</f>
        <v>0.14887826991309788</v>
      </c>
      <c r="BJ33" s="244" t="str">
        <f>IF(ISNUMBER(BL33/BM33),BL33/BM33," - ")</f>
        <v xml:space="preserve"> - </v>
      </c>
      <c r="BK33" s="709"/>
      <c r="BL33" s="681">
        <f>IF(ISNUMBER(STDEV(BL8:BL30)),STDEV(BL8:BL30),"-")</f>
        <v>1.0276305847094711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GgbFH0JA/VKwMkM4O8R5yNOChquqAPbdr/As2VCt+j/L+D0X6eDBUjldQ3OflliEJV4QohlLtMcj6RP6EB9Gg==" saltValue="b3fonT8MO7uD/yIEzCyE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GANDIA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550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483</v>
      </c>
      <c r="AA9" s="551" t="str">
        <f>IF(ISNUMBER(IF(J_V="SI",Datos!L9,Datos!L9+Datos!AB9)-IF(Monitorios="SI",Datos!CD9,0)),
                          IF(J_V="SI",Datos!L9,Datos!L9+Datos!AB9)-IF(Monitorios="SI",Datos!CD9,0),
                          " - ")</f>
        <v xml:space="preserve"> - </v>
      </c>
      <c r="AB9" s="549"/>
      <c r="AC9" s="549"/>
      <c r="AD9" s="563"/>
      <c r="AE9" s="563">
        <f>IF(ISNUMBER(Datos!R9),Datos!R9," - ")</f>
        <v>7393</v>
      </c>
      <c r="AF9" s="693" t="str">
        <f>IF(ISNUMBER(Datos!BV9),Datos!BV9," - ")</f>
        <v xml:space="preserve"> - </v>
      </c>
      <c r="AG9" s="552" t="str">
        <f>IF(ISNUMBER(Datos!DV9),Datos!DV9," - ")</f>
        <v xml:space="preserve"> - </v>
      </c>
      <c r="AH9" s="553"/>
      <c r="AI9" s="554"/>
      <c r="AJ9" s="552">
        <f>IF(ISNUMBER(Datos!M9),Datos!M9," - ")</f>
        <v>364</v>
      </c>
      <c r="AK9" s="693">
        <f>IF(ISNUMBER(Datos!N9),Datos!N9," - ")</f>
        <v>914</v>
      </c>
      <c r="AL9" s="693" t="str">
        <f>IF(ISNUMBER(Datos!BW9),Datos!BW9," - ")</f>
        <v xml:space="preserve"> - </v>
      </c>
      <c r="AM9" s="762" t="str">
        <f>IF(ISNUMBER(Datos!BX9),Datos!BX9," - ")</f>
        <v xml:space="preserve"> - </v>
      </c>
      <c r="AN9" s="763"/>
      <c r="AO9" s="764">
        <f>IF(ISNUMBER(((NºAsuntos!I9/NºAsuntos!G9)*11)/factor_trimestre),((NºAsuntos!I9/NºAsuntos!G9)*11)/factor_trimestre," - ")</f>
        <v>5.7204968944099379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9.145509145509146E-3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54</v>
      </c>
      <c r="G10" s="552">
        <f>IF(ISNUMBER(Datos!I10),Datos!I10," - ")</f>
        <v>54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6</v>
      </c>
      <c r="AA10" s="551">
        <f>IF(ISNUMBER(Datos!L10),Datos!L10,"-")</f>
        <v>67</v>
      </c>
      <c r="AB10" s="549"/>
      <c r="AC10" s="549"/>
      <c r="AD10" s="563"/>
      <c r="AE10" s="563">
        <f>IF(ISNUMBER(Datos!R10),Datos!R10," - ")</f>
        <v>61</v>
      </c>
      <c r="AF10" s="693" t="str">
        <f>IF(ISNUMBER(Datos!BV10),Datos!BV10," - ")</f>
        <v xml:space="preserve"> - </v>
      </c>
      <c r="AG10" s="552" t="str">
        <f>IF(ISNUMBER(Datos!DV10),Datos!DV10," - ")</f>
        <v xml:space="preserve"> - </v>
      </c>
      <c r="AH10" s="553"/>
      <c r="AI10" s="554"/>
      <c r="AJ10" s="552">
        <f>IF(ISNUMBER(Datos!M10),Datos!M10," - ")</f>
        <v>3</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15.461538461538462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1.6666666666666666E-2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v>
      </c>
      <c r="AA12" s="551" t="str">
        <f>IF(ISNUMBER(IF(J_V="SI",Datos!L12,Datos!L12+Datos!AB12)-IF(Monitorios="SI",Datos!CD12,0)),
                          IF(J_V="SI",Datos!L12,Datos!L12+Datos!AB12)-IF(Monitorios="SI",Datos!CD12,0),
                          " - ")</f>
        <v xml:space="preserve"> - </v>
      </c>
      <c r="AB12" s="549"/>
      <c r="AC12" s="549"/>
      <c r="AD12" s="563"/>
      <c r="AE12" s="563">
        <f>IF(ISNUMBER(Datos!R12),Datos!R12," - ")</f>
        <v>281</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1.9270833333333333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54</v>
      </c>
      <c r="G14" s="1197">
        <f>SUBTOTAL(9,G8:G13)</f>
        <v>54</v>
      </c>
      <c r="H14" s="1211"/>
      <c r="I14" s="1197">
        <f t="shared" ref="I14:N14" si="1">SUBTOTAL(9,I8:I13)</f>
        <v>0</v>
      </c>
      <c r="J14" s="1164">
        <f t="shared" si="1"/>
        <v>0</v>
      </c>
      <c r="K14" s="1211">
        <f t="shared" si="1"/>
        <v>0</v>
      </c>
      <c r="L14" s="1211">
        <f t="shared" si="1"/>
        <v>0</v>
      </c>
      <c r="M14" s="1211">
        <f t="shared" si="1"/>
        <v>0</v>
      </c>
      <c r="N14" s="1211">
        <f t="shared" si="1"/>
        <v>743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490</v>
      </c>
      <c r="AA14" s="1199">
        <f t="shared" si="3"/>
        <v>67</v>
      </c>
      <c r="AB14" s="1199">
        <f t="shared" si="3"/>
        <v>0</v>
      </c>
      <c r="AC14" s="1199">
        <f t="shared" si="3"/>
        <v>0</v>
      </c>
      <c r="AD14" s="1199">
        <f t="shared" si="3"/>
        <v>0</v>
      </c>
      <c r="AE14" s="1199">
        <f t="shared" si="3"/>
        <v>7735</v>
      </c>
      <c r="AF14" s="1211">
        <f t="shared" si="3"/>
        <v>0</v>
      </c>
      <c r="AG14" s="1211">
        <f t="shared" si="3"/>
        <v>0</v>
      </c>
      <c r="AH14" s="1211">
        <f t="shared" si="3"/>
        <v>0</v>
      </c>
      <c r="AI14" s="1211">
        <f t="shared" si="3"/>
        <v>0</v>
      </c>
      <c r="AJ14" s="1211">
        <f t="shared" si="3"/>
        <v>367</v>
      </c>
      <c r="AK14" s="1211">
        <f t="shared" si="3"/>
        <v>921</v>
      </c>
      <c r="AL14" s="1211">
        <f t="shared" si="3"/>
        <v>0</v>
      </c>
      <c r="AM14" s="1211">
        <f t="shared" si="3"/>
        <v>0</v>
      </c>
      <c r="AN14" s="1211">
        <f t="shared" si="3"/>
        <v>0</v>
      </c>
      <c r="AO14" s="1203">
        <f>IF(ISNUMBER(((NºAsuntos!I14/NºAsuntos!G14)*11)/factor_trimestre),((NºAsuntos!I14/NºAsuntos!G14)*11)/factor_trimestre," - ")</f>
        <v>5.7738879736408562</v>
      </c>
      <c r="AP14" s="1213" t="str">
        <f>IF(ISNUMBER(Datos!CI14/Datos!CJ14),Datos!CI14/Datos!CJ14," - ")</f>
        <v xml:space="preserve"> - </v>
      </c>
      <c r="AQ14" s="1236">
        <f t="shared" ref="AQ14:AV14" si="4">SUBTOTAL(9,AQ9:AQ13)</f>
        <v>0</v>
      </c>
      <c r="AR14" s="1236">
        <f t="shared" si="4"/>
        <v>1.9528955091455091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1474</v>
      </c>
      <c r="G16" s="552">
        <f>IF(ISNUMBER(IF(D_I="SI",Datos!I16,Datos!I16+Datos!AC16)),IF(D_I="SI",Datos!I16,Datos!I16+Datos!AC16)," - ")</f>
        <v>1412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2246</v>
      </c>
      <c r="Z16" s="805">
        <f>IF(ISNUMBER(Datos!Q16),Datos!Q16," - ")</f>
        <v>93</v>
      </c>
      <c r="AA16" s="551">
        <f>IF(ISNUMBER(IF(D_I="SI",Datos!L16,Datos!L16+Datos!AF16)),IF(D_I="SI",Datos!L16,Datos!L16+Datos!AF16)," - ")</f>
        <v>1386</v>
      </c>
      <c r="AB16" s="549"/>
      <c r="AC16" s="549"/>
      <c r="AD16" s="563"/>
      <c r="AE16" s="563">
        <f>IF(ISNUMBER(Datos!R16),Datos!R16," - ")</f>
        <v>313</v>
      </c>
      <c r="AF16" s="693" t="str">
        <f>IF(ISNUMBER(Datos!BV16),Datos!BV16," - ")</f>
        <v xml:space="preserve"> - </v>
      </c>
      <c r="AG16" s="552"/>
      <c r="AH16" s="553"/>
      <c r="AI16" s="554"/>
      <c r="AJ16" s="552">
        <f>IF(ISNUMBER(Datos!M16),Datos!M16," - ")</f>
        <v>423</v>
      </c>
      <c r="AK16" s="693">
        <f>IF(ISNUMBER(Datos!N16),Datos!N16," - ")</f>
        <v>1226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1.851291184327694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0</v>
      </c>
      <c r="G17" s="552">
        <f>IF(ISNUMBER(IF(D_I="SI",Datos!I17,Datos!I17+Datos!AC17)),IF(D_I="SI",Datos!I17,Datos!I17+Datos!AC17)," - ")</f>
        <v>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251</v>
      </c>
      <c r="Z18" s="805">
        <f>IF(ISNUMBER(Datos!Q18),Datos!Q18," - ")</f>
        <v>7</v>
      </c>
      <c r="AA18" s="551">
        <f>IF(ISNUMBER(Datos!L18),Datos!L18,"-")</f>
        <v>92</v>
      </c>
      <c r="AB18" s="549"/>
      <c r="AC18" s="549"/>
      <c r="AD18" s="563"/>
      <c r="AE18" s="563">
        <f>IF(ISNUMBER(Datos!R18),Datos!R18," - ")</f>
        <v>20</v>
      </c>
      <c r="AF18" s="693" t="str">
        <f>IF(ISNUMBER(Datos!BV18),Datos!BV18," - ")</f>
        <v xml:space="preserve"> - </v>
      </c>
      <c r="AG18" s="552" t="str">
        <f>IF(ISNUMBER(Datos!DV18),Datos!DV18," - ")</f>
        <v xml:space="preserve"> - </v>
      </c>
      <c r="AH18" s="553"/>
      <c r="AI18" s="554"/>
      <c r="AJ18" s="552">
        <f>IF(ISNUMBER(Datos!M18),Datos!M18," - ")</f>
        <v>74</v>
      </c>
      <c r="AK18" s="693">
        <f>IF(ISNUMBER(Datos!N18),Datos!N18," - ")</f>
        <v>186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1.0996015936254981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1474</v>
      </c>
      <c r="G23" s="1197">
        <f>SUBTOTAL(9,G16:G22)</f>
        <v>1511</v>
      </c>
      <c r="H23" s="1240">
        <f>SUBTOTAL(9,H16:H22)</f>
        <v>0</v>
      </c>
      <c r="I23" s="1217">
        <f>SUBTOTAL(9,I16:I22)</f>
        <v>0</v>
      </c>
      <c r="J23" s="1164">
        <f>SUBTOTAL(9,J15:J22)</f>
        <v>0</v>
      </c>
      <c r="K23" s="1240">
        <f t="shared" ref="K23:S23" si="5">SUBTOTAL(9,K16:K22)</f>
        <v>0</v>
      </c>
      <c r="L23" s="1240">
        <f t="shared" si="5"/>
        <v>0</v>
      </c>
      <c r="M23" s="1240">
        <f t="shared" si="5"/>
        <v>0</v>
      </c>
      <c r="N23" s="1240">
        <f t="shared" si="5"/>
        <v>119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2497</v>
      </c>
      <c r="Z23" s="1240">
        <f t="shared" si="6"/>
        <v>100</v>
      </c>
      <c r="AA23" s="1240">
        <f t="shared" si="6"/>
        <v>1478</v>
      </c>
      <c r="AB23" s="1240">
        <f t="shared" si="6"/>
        <v>0</v>
      </c>
      <c r="AC23" s="1240">
        <f t="shared" si="6"/>
        <v>0</v>
      </c>
      <c r="AD23" s="1240">
        <f t="shared" si="6"/>
        <v>0</v>
      </c>
      <c r="AE23" s="1240">
        <f t="shared" si="6"/>
        <v>333</v>
      </c>
      <c r="AF23" s="1240">
        <f t="shared" si="6"/>
        <v>0</v>
      </c>
      <c r="AG23" s="1240">
        <f t="shared" si="6"/>
        <v>0</v>
      </c>
      <c r="AH23" s="1240">
        <f t="shared" si="6"/>
        <v>0</v>
      </c>
      <c r="AI23" s="1240">
        <f t="shared" si="6"/>
        <v>0</v>
      </c>
      <c r="AJ23" s="1240">
        <f t="shared" si="6"/>
        <v>497</v>
      </c>
      <c r="AK23" s="1240">
        <f t="shared" si="6"/>
        <v>1412</v>
      </c>
      <c r="AL23" s="1240">
        <f t="shared" si="6"/>
        <v>0</v>
      </c>
      <c r="AM23" s="1240">
        <f t="shared" si="6"/>
        <v>0</v>
      </c>
      <c r="AN23" s="1240">
        <f t="shared" si="6"/>
        <v>0</v>
      </c>
      <c r="AO23" s="1242">
        <f>IF(ISNUMBER(((NºAsuntos!I23/NºAsuntos!G23)*11)/factor_trimestre),((NºAsuntos!I23/NºAsuntos!G23)*11)/factor_trimestre," - ")</f>
        <v>1.7757308770524629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1528</v>
      </c>
      <c r="G31" s="1117">
        <f t="shared" si="12"/>
        <v>1565</v>
      </c>
      <c r="H31" s="1118">
        <f t="shared" si="12"/>
        <v>0</v>
      </c>
      <c r="I31" s="1117">
        <f t="shared" si="12"/>
        <v>0</v>
      </c>
      <c r="J31" s="1119">
        <f t="shared" si="12"/>
        <v>0</v>
      </c>
      <c r="K31" s="1117">
        <f t="shared" si="12"/>
        <v>0</v>
      </c>
      <c r="L31" s="1120">
        <f t="shared" si="12"/>
        <v>0</v>
      </c>
      <c r="M31" s="1117">
        <f t="shared" si="12"/>
        <v>0</v>
      </c>
      <c r="N31" s="1118">
        <f t="shared" si="12"/>
        <v>862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2510</v>
      </c>
      <c r="Z31" s="1124">
        <f t="shared" si="13"/>
        <v>590</v>
      </c>
      <c r="AA31" s="1125">
        <f t="shared" si="13"/>
        <v>1545</v>
      </c>
      <c r="AB31" s="1125">
        <f t="shared" si="13"/>
        <v>0</v>
      </c>
      <c r="AC31" s="1125">
        <f t="shared" si="13"/>
        <v>0</v>
      </c>
      <c r="AD31" s="1126">
        <f t="shared" si="13"/>
        <v>0</v>
      </c>
      <c r="AE31" s="1126">
        <f t="shared" si="13"/>
        <v>8068</v>
      </c>
      <c r="AF31" s="1127">
        <f t="shared" si="13"/>
        <v>0</v>
      </c>
      <c r="AG31" s="1128">
        <f t="shared" si="13"/>
        <v>0</v>
      </c>
      <c r="AH31" s="1129">
        <f t="shared" si="13"/>
        <v>0</v>
      </c>
      <c r="AI31" s="1127">
        <f t="shared" si="13"/>
        <v>0</v>
      </c>
      <c r="AJ31" s="1117">
        <f t="shared" si="13"/>
        <v>864</v>
      </c>
      <c r="AK31" s="1117">
        <f t="shared" si="13"/>
        <v>2333</v>
      </c>
      <c r="AL31" s="1117">
        <f t="shared" si="13"/>
        <v>0</v>
      </c>
      <c r="AM31" s="1130">
        <f t="shared" si="13"/>
        <v>0</v>
      </c>
      <c r="AN31" s="1120">
        <f>IF(ISNUMBER(Datos!K31/Datos!J31),Datos!K31/Datos!J31," - ")</f>
        <v>0.97707855803292354</v>
      </c>
      <c r="AO31" s="1120">
        <f>IF(ISNUMBER(FIND("06",Criterios!A8,1)),(IF(ISNUMBER(((Datos!R31/Datos!Q31)*11)/factor_trimestre),((Datos!R31/Datos!Q31)*11)/factor_trimestre," - ")),(IF(ISNUMBER(((Datos!L31/Datos!K31)*11)/factor_trimestre),((Datos!L31/Datos!K31)*11)/factor_trimestre," - ")))</f>
        <v>3.7843889955214332</v>
      </c>
      <c r="AP31" s="1131" t="str">
        <f>IF(ISNUMBER(Datos!CI31/Datos!CJ31),Datos!CI31/Datos!CJ31," - ")</f>
        <v xml:space="preserve"> - </v>
      </c>
      <c r="AQ31" s="1131">
        <f>IF(OR(ISNUMBER(FIND("01",Criterios!A8,1)),ISNUMBER(FIND("02",Criterios!A8,1)),ISNUMBER(FIND("03",Criterios!A8,1)),ISNUMBER(FIND("04",Criterios!A8,1))),(J31-Y31+K31)/(F31-K31),(I31-Y31+K31)/(F31-K31))</f>
        <v>-1.6426701570680629</v>
      </c>
      <c r="AR31" s="1131">
        <f>IF(ISNUMBER((Datos!P31-Datos!Q31+O31)/(Datos!R31-Datos!P31+Datos!Q31-O31)),(Datos!P31-Datos!Q31+O31)/(Datos!R31-Datos!P31+Datos!Q31-O31)," - ")</f>
        <v>3.4889687018984095E-2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391.25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709.10997199373276</v>
      </c>
      <c r="G33" s="674">
        <f>IF(ISNUMBER(STDEV(G8:G30)),STDEV(G8:G30),"-")</f>
        <v>662.01915164355864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210.82104048484135</v>
      </c>
      <c r="AK33" s="276"/>
      <c r="AL33" s="276">
        <f>IF(ISNUMBER(STDEV(AL8:AL30)),STDEV(AL8:AL30),"-")</f>
        <v>0</v>
      </c>
      <c r="AM33" s="278">
        <f>IF(ISNUMBER(STDEV(AM8:AM30)),STDEV(AM8:AM30),"-")</f>
        <v>0</v>
      </c>
      <c r="AN33" s="660">
        <f>IF(ISNUMBER(STDEV(AN8:AN30)),STDEV(AN8:AN30),"-")</f>
        <v>0</v>
      </c>
      <c r="AO33" s="661">
        <f>IF(ISNUMBER(STDEV(AO8:AO30)),STDEV(AO8:AO30),"-")</f>
        <v>5.3965426760440121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yXeR1/jPJcyxOstC1Gs5n7lyJfK6NGpbUY4Q7QNuzxV0DZY9W1rdbf3yqETN2+yrefCV374aygBt0XcDRaIEg==" saltValue="s8WoU1Dc4kPjvEUsK1Q4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FUMjNoh/tU+lDls1f6Cz5Xj8vgO9H59Z2r6/kd5djLC3BwqNGQlmuRDylQuUmNeE3wGxO3mkY5bhRGtCR/PMw==" saltValue="RnvICKm0p2+hBeyWoDhP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ocldJ5CPmV7ydsf4jRF/WcEtlROKLrAD3TCkkGaT52gJiRKbTNoH1zIBEF2sSpraXB/oE6HdM+gA2Xey/sXrA==" saltValue="kjHD/frbZLlNBvTrJFLH5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GANDIA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0.15115321252059308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0.10688146157144272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1dPTZAb7EEglN/yKAhZU+rFTdUFid8Bw/opGWXwDi4FDU7J+TDtDVA6sUwd6kch+/yo1eucjlfgob86pKzIMA==" saltValue="ClVHXXA7QX1OsYo/HKZ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ZzbmTntaEeV5bPiePrCjdNu7Trm2D8pKDvrHzAFRRMtL7kiXdICU6wxHsafPP8Air8tUsmhGdJEZfcCmnxkX5Q==" saltValue="XhVNxQqAtFJgJ9Ntdr/b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GANDIA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4417</v>
      </c>
      <c r="D9" s="452">
        <f>IF(ISNUMBER(C9/Datos!BH9),C9/Datos!BH9," - ")</f>
        <v>736.16666666666663</v>
      </c>
      <c r="E9" s="451">
        <f>IF(ISNUMBER(IF(J_V="SI",Datos!J9,Datos!J9+Datos!Z9)),IF(J_V="SI",Datos!J9,Datos!J9+Datos!Z9)," - ")</f>
        <v>2603</v>
      </c>
      <c r="F9" s="452">
        <f>IF(ISNUMBER(E9/B9),E9/B9," - ")</f>
        <v>433.83333333333331</v>
      </c>
      <c r="G9" s="451">
        <f>IF(ISNUMBER(IF(J_V="SI",Datos!K9,Datos!K9+Datos!AA9)),IF(J_V="SI",Datos!K9,Datos!K9+Datos!AA9)," - ")</f>
        <v>2415</v>
      </c>
      <c r="H9" s="452">
        <f>IF(ISNUMBER(G9/B9),G9/B9," - ")</f>
        <v>402.5</v>
      </c>
      <c r="I9" s="451">
        <f>IF(ISNUMBER(IF(J_V="SI",Datos!L9,Datos!L9+Datos!AB9)),IF(J_V="SI",Datos!L9,Datos!L9+Datos!AB9)," - ")</f>
        <v>4605</v>
      </c>
      <c r="J9" s="452">
        <f>IF(ISNUMBER(I9/B9),I9/B9," - ")</f>
        <v>767.5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54</v>
      </c>
      <c r="D10" s="452">
        <f>IF(ISNUMBER(C10/Datos!BH10),C10/Datos!BH10," - ")</f>
        <v>54</v>
      </c>
      <c r="E10" s="451">
        <f>IF(ISNUMBER(Datos!J10),Datos!J10," - ")</f>
        <v>26</v>
      </c>
      <c r="F10" s="452">
        <f>IF(ISNUMBER(E10/B10),E10/B10," - ")</f>
        <v>26</v>
      </c>
      <c r="G10" s="451">
        <f>IF(ISNUMBER(Datos!K10),Datos!K10," - ")</f>
        <v>13</v>
      </c>
      <c r="H10" s="452">
        <f>IF(ISNUMBER(G10/B10),G10/B10," - ")</f>
        <v>13</v>
      </c>
      <c r="I10" s="451">
        <f>IF(ISNUMBER(Datos!L10),Datos!L10," - ")</f>
        <v>67</v>
      </c>
      <c r="J10" s="452">
        <f>IF(ISNUMBER(I10/B10),I10/B10," - ")</f>
        <v>67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4472</v>
      </c>
      <c r="D14" s="1147" t="str">
        <f>IF(ISNUMBER(C14/Datos!BI14),C14/Datos!BI14," - ")</f>
        <v xml:space="preserve"> - </v>
      </c>
      <c r="E14" s="1146">
        <f>SUBTOTAL(9,E8:E13)</f>
        <v>2629</v>
      </c>
      <c r="F14" s="1147">
        <f>IF(ISNUMBER(E14/B14),E14/B14," - ")</f>
        <v>375.57142857142856</v>
      </c>
      <c r="G14" s="1146">
        <f>SUBTOTAL(9,G8:G13)</f>
        <v>2428</v>
      </c>
      <c r="H14" s="1147">
        <f>IF(ISNUMBER(G14/B14),G14/B14," - ")</f>
        <v>346.85714285714283</v>
      </c>
      <c r="I14" s="1146">
        <f>SUBTOTAL(9,I8:I13)</f>
        <v>4673</v>
      </c>
      <c r="J14" s="1147">
        <f>IF(ISNUMBER(I14/B14),I14/B14," - ")</f>
        <v>667.57142857142856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1412</v>
      </c>
      <c r="D16" s="452">
        <f>IF(ISNUMBER(C16/Datos!BH16),C16/Datos!BH16," - ")</f>
        <v>470.66666666666669</v>
      </c>
      <c r="E16" s="451">
        <f>IF(ISNUMBER(IF(D_I="SI",Datos!J16,Datos!J16+Datos!AD16)),IF(D_I="SI",Datos!J16,Datos!J16+Datos!AD16)," - ")</f>
        <v>2158</v>
      </c>
      <c r="F16" s="452">
        <f>IF(ISNUMBER(E16/B16),E16/B16," - ")</f>
        <v>719.33333333333337</v>
      </c>
      <c r="G16" s="451">
        <f>IF(ISNUMBER(IF(D_I="SI",Datos!K16,Datos!K16+Datos!AE16)),IF(D_I="SI",Datos!K16,Datos!K16+Datos!AE16)," - ")</f>
        <v>2246</v>
      </c>
      <c r="H16" s="452">
        <f>IF(ISNUMBER(G16/B16),G16/B16," - ")</f>
        <v>748.66666666666663</v>
      </c>
      <c r="I16" s="451">
        <f>IF(ISNUMBER(IF(D_I="SI",Datos!L16,Datos!L16+Datos!AF16)),IF(D_I="SI",Datos!L16,Datos!L16+Datos!AF16)," - ")</f>
        <v>1386</v>
      </c>
      <c r="J16" s="452">
        <f>IF(ISNUMBER(I16/B16),I16/B16," - ")</f>
        <v>462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99</v>
      </c>
      <c r="D18" s="452">
        <f>IF(ISNUMBER(C18/Datos!BH18),C18/Datos!BH18," - ")</f>
        <v>99</v>
      </c>
      <c r="E18" s="451">
        <f>IF(ISNUMBER(IF(D_I="SI",Datos!J18,Datos!J18+Datos!AD18)),IF(D_I="SI",Datos!J18,Datos!J18+Datos!AD18)," - ")</f>
        <v>244</v>
      </c>
      <c r="F18" s="452">
        <f>IF(ISNUMBER(E18/B18),E18/B18," - ")</f>
        <v>244</v>
      </c>
      <c r="G18" s="451">
        <f>IF(ISNUMBER(IF(D_I="SI",Datos!K18,Datos!K18+Datos!AE18)),IF(D_I="SI",Datos!K18,Datos!K18+Datos!AE18)," - ")</f>
        <v>251</v>
      </c>
      <c r="H18" s="452">
        <f>IF(ISNUMBER(G18/B18),G18/B18," - ")</f>
        <v>251</v>
      </c>
      <c r="I18" s="451">
        <f>IF(ISNUMBER(IF(D_I="SI",Datos!L18,Datos!L18+Datos!AF18)),IF(D_I="SI",Datos!L18,Datos!L18+Datos!AF18)," - ")</f>
        <v>92</v>
      </c>
      <c r="J18" s="452">
        <f>IF(ISNUMBER(I18/B18),I18/B18," - ")</f>
        <v>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1511</v>
      </c>
      <c r="D23" s="1147" t="str">
        <f>IF(ISNUMBER(C23/Datos!BI23),C23/Datos!BI23," - ")</f>
        <v xml:space="preserve"> - </v>
      </c>
      <c r="E23" s="1146">
        <f>SUBTOTAL(9,E15:E22)</f>
        <v>2402</v>
      </c>
      <c r="F23" s="1147">
        <f>IF(ISNUMBER(E23/B23),E23/B23," - ")</f>
        <v>600.5</v>
      </c>
      <c r="G23" s="1146">
        <f>SUBTOTAL(9,G15:G22)</f>
        <v>2497</v>
      </c>
      <c r="H23" s="1147">
        <f>IF(ISNUMBER(G23/B23),G23/B23," - ")</f>
        <v>624.25</v>
      </c>
      <c r="I23" s="1146">
        <f>SUBTOTAL(9,I15:I22)</f>
        <v>1478</v>
      </c>
      <c r="J23" s="1147">
        <f>IF(ISNUMBER(I23/B23),I23/B23," - ")</f>
        <v>369.5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5983</v>
      </c>
      <c r="D31" s="1085" t="str">
        <f>IF(ISNUMBER(C31/Datos!BI31),C31/Datos!BI31," - ")</f>
        <v xml:space="preserve"> - </v>
      </c>
      <c r="E31" s="1084">
        <f>SUBTOTAL(9,E9:E30)</f>
        <v>5031</v>
      </c>
      <c r="F31" s="1085">
        <f>IF(ISNUMBER(E31/B31),E31/B31," - ")</f>
        <v>503.1</v>
      </c>
      <c r="G31" s="1084">
        <f>SUBTOTAL(9,G9:G30)</f>
        <v>4925</v>
      </c>
      <c r="H31" s="1085">
        <f>IF(ISNUMBER(G31/B31),G31/B31," - ")</f>
        <v>492.5</v>
      </c>
      <c r="I31" s="1084">
        <f>SUBTOTAL(9,I9:I30)</f>
        <v>6151</v>
      </c>
      <c r="J31" s="1085">
        <f>IF(ISNUMBER(I31/B31),I31/B31," - ")</f>
        <v>615.1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7W0+2qgdpGA/RT9vFovLI76OyTCwaa8B95qiqsLz4bEmYd+sVAjaPIBDOU34xppRg63P78bs6koTekJv72WMQ==" saltValue="uITdJb/IRheDMC0dzj9c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GANDIA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54</v>
      </c>
      <c r="G10" s="906">
        <f>IF(ISNUMBER(Datos!I10),Datos!I10," - ")</f>
        <v>54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67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15.461538461538462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186</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1.9270833333333333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54</v>
      </c>
      <c r="G14" s="1256">
        <f t="shared" si="0"/>
        <v>54</v>
      </c>
      <c r="H14" s="1256">
        <f t="shared" si="0"/>
        <v>0</v>
      </c>
      <c r="I14" s="1258">
        <f t="shared" si="0"/>
        <v>0</v>
      </c>
      <c r="J14" s="1257">
        <f t="shared" si="0"/>
        <v>0</v>
      </c>
      <c r="K14" s="1257">
        <f t="shared" si="0"/>
        <v>0</v>
      </c>
      <c r="L14" s="1259">
        <f t="shared" si="0"/>
        <v>0</v>
      </c>
      <c r="M14" s="1259">
        <f t="shared" si="0"/>
        <v>0</v>
      </c>
      <c r="N14" s="1257">
        <f t="shared" si="0"/>
        <v>193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1</v>
      </c>
      <c r="AE14" s="1257">
        <f t="shared" si="1"/>
        <v>0</v>
      </c>
      <c r="AF14" s="1257">
        <f t="shared" si="1"/>
        <v>67</v>
      </c>
      <c r="AG14" s="1257">
        <f t="shared" si="1"/>
        <v>0</v>
      </c>
      <c r="AH14" s="1257">
        <f t="shared" si="1"/>
        <v>281</v>
      </c>
      <c r="AI14" s="1257">
        <f t="shared" si="1"/>
        <v>0</v>
      </c>
      <c r="AJ14" s="1257">
        <f t="shared" si="1"/>
        <v>0</v>
      </c>
      <c r="AK14" s="1257">
        <f t="shared" si="1"/>
        <v>0</v>
      </c>
      <c r="AL14" s="1257">
        <f t="shared" si="1"/>
        <v>3</v>
      </c>
      <c r="AM14" s="1257">
        <f t="shared" si="1"/>
        <v>7</v>
      </c>
      <c r="AN14" s="1257">
        <f t="shared" si="1"/>
        <v>0</v>
      </c>
      <c r="AO14" s="1257">
        <f t="shared" si="1"/>
        <v>0</v>
      </c>
      <c r="AP14" s="1262">
        <f>IF(ISNUMBER(((Datos!L14/Datos!K14)*11)/factor_trimestre),((Datos!L14/Datos!K14)*11)/factor_trimestre," - ")</f>
        <v>6.0725364963503656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-0.24074074074074073</v>
      </c>
      <c r="AU14" s="1257" t="str">
        <f>IF(ISNUMBER((DatosP!#REF!-DatosP!#REF!+DatosP!#REF!)/(DatosP!#REF!+DatosP!#REF!-DatosP!#REF!-DatosP!#REF!)),(DatosP!#REF!-DatosP!#REF!+DatosP!#REF!)/(DatosP!#REF!+DatosP!#REF!-DatosP!#REF!-DatosP!#REF!)," - ")</f>
        <v xml:space="preserve"> - </v>
      </c>
      <c r="AV14" s="1263">
        <f>SUBTOTAL(9,AV9:AV13)</f>
        <v>1.9270833333333333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1.7757308770524629</v>
      </c>
      <c r="AQ23" s="1262">
        <f>IF(ISNUMBER(((Datos!M23/Datos!L23)*11)/factor_trimestre),((Datos!M23/Datos!L23)*11)/factor_trimestre," - ")</f>
        <v>1.0087956698240867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6.0509554140127389E-2</v>
      </c>
      <c r="AW23" s="1265">
        <f>IF(ISNUMBER((Datos!Q23-Datos!R23)/(Datos!S23-Datos!Q23+Datos!R23)),(Datos!Q23-Datos!R23)/(Datos!S23-Datos!Q23+Datos!R23)," - ")</f>
        <v>-0.15051679586563307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54</v>
      </c>
      <c r="G31" s="1278">
        <f t="shared" si="8"/>
        <v>54</v>
      </c>
      <c r="H31" s="1278">
        <f t="shared" si="8"/>
        <v>0</v>
      </c>
      <c r="I31" s="1279">
        <f t="shared" si="8"/>
        <v>0</v>
      </c>
      <c r="J31" s="1280">
        <f t="shared" si="8"/>
        <v>0</v>
      </c>
      <c r="K31" s="1280">
        <f t="shared" si="8"/>
        <v>0</v>
      </c>
      <c r="L31" s="1280">
        <f t="shared" si="8"/>
        <v>0</v>
      </c>
      <c r="M31" s="1280">
        <f t="shared" si="8"/>
        <v>0</v>
      </c>
      <c r="N31" s="1279">
        <f t="shared" si="8"/>
        <v>193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1</v>
      </c>
      <c r="AE31" s="1284">
        <f t="shared" si="9"/>
        <v>0</v>
      </c>
      <c r="AF31" s="1285">
        <f t="shared" si="9"/>
        <v>67</v>
      </c>
      <c r="AG31" s="1285">
        <f t="shared" si="9"/>
        <v>0</v>
      </c>
      <c r="AH31" s="1285">
        <f t="shared" si="9"/>
        <v>281</v>
      </c>
      <c r="AI31" s="1285">
        <f t="shared" si="9"/>
        <v>0</v>
      </c>
      <c r="AJ31" s="1286">
        <f t="shared" si="9"/>
        <v>0</v>
      </c>
      <c r="AK31" s="1286">
        <f t="shared" si="9"/>
        <v>0</v>
      </c>
      <c r="AL31" s="1278">
        <f t="shared" si="9"/>
        <v>3</v>
      </c>
      <c r="AM31" s="1278">
        <f t="shared" si="9"/>
        <v>7</v>
      </c>
      <c r="AN31" s="1278">
        <f t="shared" si="9"/>
        <v>0</v>
      </c>
      <c r="AO31" s="1278">
        <f t="shared" si="9"/>
        <v>0</v>
      </c>
      <c r="AP31" s="1278">
        <f>IF(ISNUMBER(((Datos!L31/Datos!K31)*11)/factor_trimestre),((Datos!L31/Datos!K31)*11)/factor_trimestre," - ")</f>
        <v>3.7843889955214332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-0.24074074074074073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3.4889687018984095E-2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29.57701810527897</v>
      </c>
      <c r="G33" s="1007">
        <f>IF(ISNUMBER(STDEV(G8:G30)),STDEV(G8:G30),"-")</f>
        <v>29.57701810527897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1.5491933384829668</v>
      </c>
      <c r="AM33" s="1006"/>
      <c r="AN33" s="1006">
        <f>IF(ISNUMBER(STDEV(AN8:AN30)),STDEV(AN8:AN30),"-")</f>
        <v>0</v>
      </c>
      <c r="AO33" s="1012">
        <f>IF(ISNUMBER(STDEV(AO8:AO30)),STDEV(AO8:AO30),"-")</f>
        <v>0</v>
      </c>
      <c r="AP33" s="1065">
        <f>IF(ISNUMBER(STDEV(AP8:AP30)),STDEV(AP8:AP30),"-")</f>
        <v>6.9990145219631987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Y1ku1N3Mxg/RvlKaafid7mZ07bNmrnsKaedAT1Ozorz7cUw+3thys6CiH9WG2WDk0PXdVEAXhknLHpBM5CMOw==" saltValue="nImX55/UomuFo7KzBz7T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GANDIA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qOk858b669DTUukWmwDdHZ9OBUqp8aEHlHPECCW0d+HA/YENyffEJ38MgP/Z1sHvN/2Ghnqq0uuCBplE7kSQ==" saltValue="Q2oXp8bg0uH9l5QXRv8tE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GANDIA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364</v>
      </c>
      <c r="E9" s="452">
        <f t="shared" ref="E9:E14" si="0">IF(ISNUMBER(D9/B9),D9/B9," - ")</f>
        <v>60.666666666666664</v>
      </c>
      <c r="F9" s="451">
        <f>IF(ISNUMBER(Datos!N9),Datos!N9," - ")</f>
        <v>914</v>
      </c>
      <c r="G9" s="452">
        <f t="shared" ref="G9:G14" si="1">IF(ISNUMBER(F9/B9),F9/B9," - ")</f>
        <v>152.33333333333334</v>
      </c>
      <c r="H9" s="451">
        <f>IF(ISNUMBER(Datos!O9),Datos!O9," - ")</f>
        <v>1493</v>
      </c>
      <c r="I9" s="452">
        <f>IF(ISNUMBER(H9/B9),H9/B9," - ")</f>
        <v>248.83333333333334</v>
      </c>
    </row>
    <row r="10" spans="1:9">
      <c r="A10" s="450" t="str">
        <f>Datos!A10</f>
        <v>Jdos. Violencia contra la mujer</v>
      </c>
      <c r="B10" s="480">
        <f>Datos!AO10</f>
        <v>1</v>
      </c>
      <c r="C10" s="458">
        <f>Datos!AQ10</f>
        <v>1</v>
      </c>
      <c r="D10" s="451">
        <f>IF(ISNUMBER(Datos!M10),Datos!M10," - ")</f>
        <v>3</v>
      </c>
      <c r="E10" s="452">
        <f>IF(ISNUMBER(D10/B10),D10/B10," - ")</f>
        <v>3</v>
      </c>
      <c r="F10" s="451">
        <f>IF(ISNUMBER(Datos!N10),Datos!N10," - ")</f>
        <v>7</v>
      </c>
      <c r="G10" s="452">
        <f>IF(ISNUMBER(F10/B10),F10/B10," - ")</f>
        <v>7</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1</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367</v>
      </c>
      <c r="E14" s="1147">
        <f t="shared" si="0"/>
        <v>52.428571428571431</v>
      </c>
      <c r="F14" s="1146">
        <f>SUBTOTAL(9,F9:F13)</f>
        <v>921</v>
      </c>
      <c r="G14" s="1147">
        <f t="shared" si="1"/>
        <v>131.57142857142858</v>
      </c>
      <c r="H14" s="1146">
        <f>SUBTOTAL(9,H9:H13)</f>
        <v>1500</v>
      </c>
      <c r="I14" s="1147">
        <f>IF(ISNUMBER(H14/B14),H14/B14," - ")</f>
        <v>214.28571428571428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423</v>
      </c>
      <c r="E16" s="452">
        <f t="shared" ref="E16:E23" si="3">IF(ISNUMBER(D16/B16),D16/B16," - ")</f>
        <v>141</v>
      </c>
      <c r="F16" s="451">
        <f>IF(ISNUMBER(Datos!N16),Datos!N16," - ")</f>
        <v>1226</v>
      </c>
      <c r="G16" s="452">
        <f t="shared" ref="G16:G23" si="4">IF(ISNUMBER(F16/B16),F16/B16," - ")</f>
        <v>408.66666666666669</v>
      </c>
      <c r="H16" s="451">
        <f>IF(ISNUMBER(Datos!O16),Datos!O16," - ")</f>
        <v>81</v>
      </c>
      <c r="I16" s="452">
        <f t="shared" ref="I16:I22" si="5">IF(ISNUMBER(H16/B16),H16/B16," - ")</f>
        <v>27</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74</v>
      </c>
      <c r="E18" s="452">
        <f>IF(ISNUMBER(D18/B18),D18/B18," - ")</f>
        <v>74</v>
      </c>
      <c r="F18" s="451">
        <f>IF(ISNUMBER(Datos!N18),Datos!N18," - ")</f>
        <v>186</v>
      </c>
      <c r="G18" s="452">
        <f>IF(ISNUMBER(F18/B18),F18/B18," - ")</f>
        <v>186</v>
      </c>
      <c r="H18" s="451">
        <f>IF(ISNUMBER(Datos!O18),Datos!O18," - ")</f>
        <v>9</v>
      </c>
      <c r="I18" s="452">
        <f t="shared" si="5"/>
        <v>9</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497</v>
      </c>
      <c r="E23" s="1147">
        <f t="shared" si="3"/>
        <v>124.25</v>
      </c>
      <c r="F23" s="1146">
        <f>SUBTOTAL(9,F16:F22)</f>
        <v>1412</v>
      </c>
      <c r="G23" s="1147">
        <f t="shared" si="4"/>
        <v>353</v>
      </c>
      <c r="H23" s="1146">
        <f>SUBTOTAL(9,H16:H22)</f>
        <v>90</v>
      </c>
      <c r="I23" s="1147">
        <f>IF(ISNUMBER(H23/B23),H23/B23," - ")</f>
        <v>22.5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864</v>
      </c>
      <c r="E31" s="1085">
        <f>IF(ISNUMBER(D31/B31),D31/B31," - ")</f>
        <v>86.4</v>
      </c>
      <c r="F31" s="1084">
        <f>SUBTOTAL(9,F8:F30)</f>
        <v>2333</v>
      </c>
      <c r="G31" s="1085">
        <f>IF(ISNUMBER(F31/B31),F31/B31," - ")</f>
        <v>233.3</v>
      </c>
      <c r="H31" s="1084">
        <f>SUBTOTAL(9,H8:H30)</f>
        <v>1590</v>
      </c>
      <c r="I31" s="1085">
        <f>IF(ISNUMBER(H31/B31),H31/B31," - ")</f>
        <v>159</v>
      </c>
    </row>
    <row r="34" spans="1:1">
      <c r="A34" s="439" t="str">
        <f>Criterios!A4</f>
        <v>Fecha Informe: 06 may. 2023</v>
      </c>
    </row>
    <row r="39" spans="1:1">
      <c r="A39" s="462"/>
    </row>
  </sheetData>
  <sheetProtection algorithmName="SHA-512" hashValue="zNQ7o5hUzF75vfnFX6CoFZOb5IwPEuzYaTFZvB2txx65kq3IDTuQGPKvlULarF3wTARAbnidwanYy/PwmBOQNA==" saltValue="8Cfrr4zBd6nukbT+8YVn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GANDIA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550</v>
      </c>
      <c r="C9" s="489">
        <f>IF(ISNUMBER(Datos!Q9),Datos!Q9," - ")</f>
        <v>483</v>
      </c>
      <c r="D9" s="456">
        <f>IF(ISNUMBER(Datos!R9),Datos!R9," - ")</f>
        <v>7393</v>
      </c>
    </row>
    <row r="10" spans="1:4">
      <c r="A10" s="450" t="str">
        <f>Datos!A10</f>
        <v>Jdos. Violencia contra la mujer</v>
      </c>
      <c r="B10" s="488">
        <f>IF(ISNUMBER(Datos!P10),Datos!P10," - ")</f>
        <v>7</v>
      </c>
      <c r="C10" s="489">
        <f>IF(ISNUMBER(Datos!Q10),Datos!Q10," - ")</f>
        <v>6</v>
      </c>
      <c r="D10" s="456">
        <f>IF(ISNUMBER(Datos!R10),Datos!R10," - ")</f>
        <v>61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186</v>
      </c>
      <c r="C12" s="489">
        <f>IF(ISNUMBER(Datos!Q12),Datos!Q12," - ")</f>
        <v>1</v>
      </c>
      <c r="D12" s="456">
        <f>IF(ISNUMBER(Datos!R12),Datos!R12," - ")</f>
        <v>281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743</v>
      </c>
      <c r="C14" s="1150">
        <f>SUBTOTAL(9,C9:C13)</f>
        <v>490</v>
      </c>
      <c r="D14" s="1148">
        <f>SUBTOTAL(9,D9:D13)</f>
        <v>7735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102</v>
      </c>
      <c r="C16" s="489">
        <f>IF(ISNUMBER(Datos!Q16),Datos!Q16," - ")</f>
        <v>93</v>
      </c>
      <c r="D16" s="456">
        <f>IF(ISNUMBER(Datos!R16),Datos!R16," - ")</f>
        <v>313</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17</v>
      </c>
      <c r="C18" s="489">
        <f>IF(ISNUMBER(Datos!Q18),Datos!Q18," - ")</f>
        <v>7</v>
      </c>
      <c r="D18" s="456">
        <f>IF(ISNUMBER(Datos!R18),Datos!R18," - ")</f>
        <v>20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119</v>
      </c>
      <c r="C23" s="1150">
        <f>SUBTOTAL(9,C16:C22)</f>
        <v>100</v>
      </c>
      <c r="D23" s="1148">
        <f>SUBTOTAL(9,D16:D22)</f>
        <v>333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862</v>
      </c>
      <c r="C31" s="1089">
        <f>SUBTOTAL(9,C8:C30)</f>
        <v>590</v>
      </c>
      <c r="D31" s="1090">
        <f>SUBTOTAL(9,D8:D30)</f>
        <v>8068</v>
      </c>
    </row>
    <row r="32" spans="1:4" ht="7.5" customHeight="1"/>
    <row r="33" spans="1:1" ht="6" customHeight="1"/>
    <row r="34" spans="1:1">
      <c r="A34" s="439" t="str">
        <f>Criterios!A4</f>
        <v>Fecha Informe: 06 may. 2023</v>
      </c>
    </row>
    <row r="39" spans="1:1">
      <c r="A39" s="462"/>
    </row>
  </sheetData>
  <sheetProtection algorithmName="SHA-512" hashValue="CmhqO4+t4jU8d5cNqdgW0M3g627DahD7vEsBxpiJWR1zIrLvRwrpEs6op6Hxn7ZWhT7/4NnIh3Opga1LLvA5AQ==" saltValue="rnLVLJJ+qYgXaZYNyqji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GANDIA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0.10342243317511866</v>
      </c>
      <c r="C9" s="515">
        <f>IF(ISNUMBER(
   IF(J_V="SI",(Datos!J9-Datos!T9)/Datos!T9,(Datos!J9+Datos!Z9-(Datos!T9+Datos!AH9))/(Datos!T9+Datos!AH9))
     ),IF(J_V="SI",(Datos!J9-Datos!T9)/Datos!T9,(Datos!J9+Datos!Z9-(Datos!T9+Datos!AH9))/(Datos!T9+Datos!AH9))," - ")</f>
        <v>0.33077709611451944</v>
      </c>
      <c r="D9" s="515">
        <f>IF(ISNUMBER(
   IF(J_V="SI",(Datos!K9-Datos!U9)/Datos!U9,(Datos!K9+Datos!AA9-(Datos!U9+Datos!AI9))/(Datos!U9+Datos!AI9))
     ),IF(J_V="SI",(Datos!K9-Datos!U9)/Datos!U9,(Datos!K9+Datos!AA9-(Datos!U9+Datos!AI9))/(Datos!U9+Datos!AI9))," - ")</f>
        <v>0.31751227495908346</v>
      </c>
      <c r="E9" s="515">
        <f>IF(ISNUMBER(
   IF(J_V="SI",(Datos!L9-Datos!V9)/Datos!V9,(Datos!L9+Datos!AB9-(Datos!V9+Datos!AJ9))/(Datos!V9+Datos!AJ9))
     ),IF(J_V="SI",(Datos!L9-Datos!V9)/Datos!V9,(Datos!L9+Datos!AB9-(Datos!V9+Datos!AJ9))/(Datos!V9+Datos!AJ9))," - ")</f>
        <v>0.11609306834706738</v>
      </c>
      <c r="F9" s="515">
        <f>IF(ISNUMBER((Datos!M9-Datos!W9)/Datos!W9),(Datos!M9-Datos!W9)/Datos!W9," - ")</f>
        <v>-0.18018018018018017</v>
      </c>
      <c r="G9" s="516">
        <f>IF(ISNUMBER((Datos!N9-Datos!X9)/Datos!X9),(Datos!N9-Datos!X9)/Datos!X9," - ")</f>
        <v>0.40832049306625579</v>
      </c>
      <c r="H9" s="514">
        <f>IF(ISNUMBER(((NºAsuntos!G9/NºAsuntos!E9)-Datos!BD9)/Datos!BD9),((NºAsuntos!G9/NºAsuntos!E9)-Datos!BD9)/Datos!BD9," - ")</f>
        <v>-9.9677257702776474E-3</v>
      </c>
      <c r="I9" s="515">
        <f>IF(ISNUMBER(((NºAsuntos!I9/NºAsuntos!G9)-Datos!BE9)/Datos!BE9),((NºAsuntos!I9/NºAsuntos!G9)-Datos!BE9)/Datos!BE9," - ")</f>
        <v>-0.15287842886949304</v>
      </c>
      <c r="J9" s="521">
        <f>IF(ISNUMBER((('Resol  Asuntos'!D9/NºAsuntos!G9)-Datos!BF9)/Datos!BF9),(('Resol  Asuntos'!D9/NºAsuntos!G9)-Datos!BF9)/Datos!BF9," - ")</f>
        <v>-0.57430160112547723</v>
      </c>
      <c r="K9" s="522">
        <f>IF(ISNUMBER((((NºAsuntos!C9+NºAsuntos!E9)/NºAsuntos!G9)-Datos!BG9)/Datos!BG9),(((NºAsuntos!C9+NºAsuntos!E9)/NºAsuntos!G9)-Datos!BG9)/Datos!BG9," - ")</f>
        <v>-0.10585272655068433</v>
      </c>
    </row>
    <row r="10" spans="1:11">
      <c r="A10" s="450" t="str">
        <f>Datos!A10</f>
        <v>Jdos. Violencia contra la mujer</v>
      </c>
      <c r="B10" s="514">
        <f>IF(ISNUMBER((Datos!I10-Datos!S10)/Datos!S10),(Datos!I10-Datos!S10)/Datos!S10," - ")</f>
        <v>0.35</v>
      </c>
      <c r="C10" s="515">
        <f>IF(ISNUMBER((Datos!J10-Datos!T10)/Datos!T10),(Datos!J10-Datos!T10)/Datos!T10," - ")</f>
        <v>0.18181818181818182</v>
      </c>
      <c r="D10" s="515">
        <f>IF(ISNUMBER((Datos!K10-Datos!U10)/Datos!U10),(Datos!K10-Datos!U10)/Datos!U10," - ")</f>
        <v>-0.40909090909090912</v>
      </c>
      <c r="E10" s="515">
        <f>IF(ISNUMBER((Datos!L10-Datos!V10)/Datos!V10),(Datos!L10-Datos!V10)/Datos!V10," - ")</f>
        <v>0.67500000000000004</v>
      </c>
      <c r="F10" s="515">
        <f>IF(ISNUMBER((Datos!M10-Datos!W10)/Datos!W10),(Datos!M10-Datos!W10)/Datos!W10," - ")</f>
        <v>-0.76923076923076927</v>
      </c>
      <c r="G10" s="516">
        <f>IF(ISNUMBER((Datos!N10-Datos!X10)/Datos!X10),(Datos!N10-Datos!X10)/Datos!X10," - ")</f>
        <v>-0.22222222222222221</v>
      </c>
      <c r="H10" s="514">
        <f>IF(ISNUMBER(((NºAsuntos!G10/NºAsuntos!E10)-Datos!BD10)/Datos!BD10),((NºAsuntos!G10/NºAsuntos!E10)-Datos!BD10)/Datos!BD10," - ")</f>
        <v>-0.5</v>
      </c>
      <c r="I10" s="515">
        <f>IF(ISNUMBER(((NºAsuntos!I10/NºAsuntos!G10)-Datos!BE10)/Datos!BE10),((NºAsuntos!I10/NºAsuntos!G10)-Datos!BE10)/Datos!BE10," - ")</f>
        <v>1.8346153846153848</v>
      </c>
      <c r="J10" s="521">
        <f>IF(ISNUMBER((('Resol  Asuntos'!D10/NºAsuntos!G10)-Datos!BF10)/Datos!BF10),(('Resol  Asuntos'!D10/NºAsuntos!G10)-Datos!BF10)/Datos!BF10," - ")</f>
        <v>-0.60946745562130178</v>
      </c>
      <c r="K10" s="522">
        <f>IF(ISNUMBER((((NºAsuntos!C10+NºAsuntos!E10)/NºAsuntos!G10)-Datos!BG10)/Datos!BG10),(((NºAsuntos!C10+NºAsuntos!E10)/NºAsuntos!G10)-Datos!BG10)/Datos!BG10," - ")</f>
        <v>1.1836228287841191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v>
      </c>
      <c r="C12" s="515" t="str">
        <f>IF(ISNUMBER(
   IF(J_V="SI",(Datos!J12-Datos!T12)/Datos!T12,(Datos!J12+Datos!Z12-(Datos!T12+Datos!AH12))/(Datos!T12+Datos!AH12))
     ),IF(J_V="SI",(Datos!J12-Datos!T12)/Datos!T12,(Datos!J12+Datos!Z12-(Datos!T12+Datos!AH12))/(Datos!T12+Datos!AH12))," - ")</f>
        <v xml:space="preserve"> - </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0.10556242274412855</v>
      </c>
      <c r="C14" s="1152">
        <f>IF(ISNUMBER(
   IF(J_V="SI",(Datos!J14-Datos!T14)/Datos!T14,(Datos!J14+Datos!Z14-(Datos!T14+Datos!AH14))/(Datos!T14+Datos!AH14))
     ),IF(J_V="SI",(Datos!J14-Datos!T14)/Datos!T14,(Datos!J14+Datos!Z14-(Datos!T14+Datos!AH14))/(Datos!T14+Datos!AH14))," - ")</f>
        <v>0.32912032355915066</v>
      </c>
      <c r="D14" s="1152">
        <f>IF(ISNUMBER(
   IF(J_V="SI",(Datos!K14-Datos!U14)/Datos!U14,(Datos!K14+Datos!AA14-(Datos!U14+Datos!AI14))/(Datos!U14+Datos!AI14))
     ),IF(J_V="SI",(Datos!K14-Datos!U14)/Datos!U14,(Datos!K14+Datos!AA14-(Datos!U14+Datos!AI14))/(Datos!U14+Datos!AI14))," - ")</f>
        <v>0.30818965517241381</v>
      </c>
      <c r="E14" s="1152">
        <f>IF(ISNUMBER(
   IF(J_V="SI",(Datos!L14-Datos!V14)/Datos!V14,(Datos!L14+Datos!AB14-(Datos!V14+Datos!AJ14))/(Datos!V14+Datos!AJ14))
     ),IF(J_V="SI",(Datos!L14-Datos!V14)/Datos!V14,(Datos!L14+Datos!AB14-(Datos!V14+Datos!AJ14))/(Datos!V14+Datos!AJ14))," - ")</f>
        <v>0.12143028557715382</v>
      </c>
      <c r="F14" s="1153">
        <f>IF(ISNUMBER((Datos!M14-Datos!W14)/Datos!W14),(Datos!M14-Datos!W14)/Datos!W14," - ")</f>
        <v>-0.19693654266958424</v>
      </c>
      <c r="G14" s="1154">
        <f>IF(ISNUMBER((Datos!N14-Datos!X14)/Datos!X14),(Datos!N14-Datos!X14)/Datos!X14," - ")</f>
        <v>0.39969604863221886</v>
      </c>
      <c r="H14" s="1154">
        <f>IF(ISNUMBER(((NºAsuntos!G14/NºAsuntos!E14)-Datos!BD14)/Datos!BD14),((NºAsuntos!G14/NºAsuntos!E14)-Datos!BD14)/Datos!BD14," - ")</f>
        <v>-1.5747760391390447E-2</v>
      </c>
      <c r="I14" s="1154">
        <f>IF(ISNUMBER(((NºAsuntos!I14/NºAsuntos!G14)-Datos!BE14)/Datos!BE14),((NºAsuntos!I14/NºAsuntos!G14)-Datos!BE14)/Datos!BE14," - ")</f>
        <v>-0.14276169273838649</v>
      </c>
      <c r="J14" s="1154">
        <f>IF(ISNUMBER((('Resol  Asuntos'!D14/NºAsuntos!G14)-Datos!BF14)/Datos!BF14),(('Resol  Asuntos'!D14/NºAsuntos!G14)-Datos!BF14)/Datos!BF14," - ")</f>
        <v>-0.57622301746492333</v>
      </c>
      <c r="K14" s="1154">
        <f>IF(ISNUMBER((((NºAsuntos!C14+NºAsuntos!E14)/NºAsuntos!G14)-Datos!BG14)/Datos!BG14),(((NºAsuntos!C14+NºAsuntos!E14)/NºAsuntos!G14)-Datos!BG14)/Datos!BG14," - ")</f>
        <v>-9.8769379651478681E-2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0.16213991769547326</v>
      </c>
      <c r="C16" s="515">
        <f>IF(ISNUMBER(
   IF(D_I="SI",(Datos!J16-Datos!T16)/Datos!T16,(Datos!J16+Datos!AD16-(Datos!T16+Datos!AL16))/(Datos!T16+Datos!AL16))
     ),IF(D_I="SI",(Datos!J16-Datos!T16)/Datos!T16,(Datos!J16+Datos!AD16-(Datos!T16+Datos!AL16))/(Datos!T16+Datos!AL16))," - ")</f>
        <v>-2.7489860297431275E-2</v>
      </c>
      <c r="D16" s="515">
        <f>IF(ISNUMBER(
   IF(D_I="SI",(Datos!K16-Datos!U16)/Datos!U16,(Datos!K16+Datos!AE16-(Datos!U16+Datos!AM16))/(Datos!U16+Datos!AM16))
     ),IF(D_I="SI",(Datos!K16-Datos!U16)/Datos!U16,(Datos!K16+Datos!AE16-(Datos!U16+Datos!AM16))/(Datos!U16+Datos!AM16))," - ")</f>
        <v>8.032708032708033E-2</v>
      </c>
      <c r="E16" s="515">
        <f>IF(ISNUMBER(
   IF(D_I="SI",(Datos!L16-Datos!V16)/Datos!V16,(Datos!L16+Datos!AF16-(Datos!V16+Datos!AN16))/(Datos!V16+Datos!AN16))
     ),IF(D_I="SI",(Datos!L16-Datos!V16)/Datos!V16,(Datos!L16+Datos!AF16-(Datos!V16+Datos!AN16))/(Datos!V16+Datos!AN16))," - ")</f>
        <v>-1.6323633782824698E-2</v>
      </c>
      <c r="F16" s="515">
        <f>IF(ISNUMBER((Datos!M16-Datos!W16)/Datos!W16),(Datos!M16-Datos!W16)/Datos!W16," - ")</f>
        <v>6.2814070351758788E-2</v>
      </c>
      <c r="G16" s="516">
        <f>IF(ISNUMBER((Datos!N16-Datos!X16)/Datos!X16),(Datos!N16-Datos!X16)/Datos!X16," - ")</f>
        <v>0.18568665377176016</v>
      </c>
      <c r="H16" s="514">
        <f>IF(ISNUMBER(((NºAsuntos!G16/NºAsuntos!E16)-Datos!BD16)/Datos!BD16),((NºAsuntos!G16/NºAsuntos!E16)-Datos!BD16)/Datos!BD16," - ")</f>
        <v>0.11086459279230364</v>
      </c>
      <c r="I16" s="515">
        <f>IF(ISNUMBER(((NºAsuntos!I16/NºAsuntos!G16)-Datos!BE16)/Datos!BE16),((NºAsuntos!I16/NºAsuntos!G16)-Datos!BE16)/Datos!BE16," - ")</f>
        <v>-8.9464307495321652E-2</v>
      </c>
      <c r="J16" s="521">
        <f>IF(ISNUMBER((('Resol  Asuntos'!D16/NºAsuntos!G16)-Datos!BF16)/Datos!BF16),(('Resol  Asuntos'!D16/NºAsuntos!G16)-Datos!BF16)/Datos!BF16," - ")</f>
        <v>-1.62108404891778E-2</v>
      </c>
      <c r="K16" s="522">
        <f>IF(ISNUMBER((((NºAsuntos!C16+NºAsuntos!E16)/NºAsuntos!G16)-Datos!BG16)/Datos!BG16),(((NºAsuntos!C16+NºAsuntos!E16)/NºAsuntos!G16)-Datos!BG16)/Datos!BG16," - ")</f>
        <v>-3.7695176463327484E-2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f>IF(ISNUMBER((Datos!N17-Datos!X17)/Datos!X17),(Datos!N17-Datos!X17)/Datos!X17," - ")</f>
        <v>-1</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1.020408163265306E-2</v>
      </c>
      <c r="C18" s="515">
        <f>IF(ISNUMBER(
   IF(D_I="SI",(Datos!J18-Datos!T18)/Datos!T18,(Datos!J18+Datos!AD18-(Datos!T18+Datos!AL18))/(Datos!T18+Datos!AL18))
     ),IF(D_I="SI",(Datos!J18-Datos!T18)/Datos!T18,(Datos!J18+Datos!AD18-(Datos!T18+Datos!AL18))/(Datos!T18+Datos!AL18))," - ")</f>
        <v>8.4444444444444447E-2</v>
      </c>
      <c r="D18" s="515">
        <f>IF(ISNUMBER(
   IF(D_I="SI",(Datos!K18-Datos!U18)/Datos!U18,(Datos!K18+Datos!AE18-(Datos!U18+Datos!AM18))/(Datos!U18+Datos!AM18))
     ),IF(D_I="SI",(Datos!K18-Datos!U18)/Datos!U18,(Datos!K18+Datos!AE18-(Datos!U18+Datos!AM18))/(Datos!U18+Datos!AM18))," - ")</f>
        <v>0.1409090909090909</v>
      </c>
      <c r="E18" s="515">
        <f>IF(ISNUMBER(
   IF(D_I="SI",(Datos!L18-Datos!V18)/Datos!V18,(Datos!L18+Datos!AF18-(Datos!V18+Datos!AN18))/(Datos!V18+Datos!AN18))
     ),IF(D_I="SI",(Datos!L18-Datos!V18)/Datos!V18,(Datos!L18+Datos!AF18-(Datos!V18+Datos!AN18))/(Datos!V18+Datos!AN18))," - ")</f>
        <v>-0.10679611650485436</v>
      </c>
      <c r="F18" s="515">
        <f>IF(ISNUMBER((Datos!M18-Datos!W18)/Datos!W18),(Datos!M18-Datos!W18)/Datos!W18," - ")</f>
        <v>0.1044776119402985</v>
      </c>
      <c r="G18" s="516">
        <f>IF(ISNUMBER((Datos!N18-Datos!X18)/Datos!X18),(Datos!N18-Datos!X18)/Datos!X18," - ")</f>
        <v>0.19230769230769232</v>
      </c>
      <c r="H18" s="514">
        <f>IF(ISNUMBER(((NºAsuntos!G18/NºAsuntos!E18)-Datos!BD18)/Datos!BD18),((NºAsuntos!G18/NºAsuntos!E18)-Datos!BD18)/Datos!BD18," - ")</f>
        <v>5.2067809239940512E-2</v>
      </c>
      <c r="I18" s="515">
        <f>IF(ISNUMBER(((NºAsuntos!I18/NºAsuntos!G18)-Datos!BE18)/Datos!BE18),((NºAsuntos!I18/NºAsuntos!G18)-Datos!BE18)/Datos!BE18," - ")</f>
        <v>-0.21711213398831858</v>
      </c>
      <c r="J18" s="521">
        <f>IF(ISNUMBER((('Resol  Asuntos'!D18/NºAsuntos!G18)-Datos!BF18)/Datos!BF18),(('Resol  Asuntos'!D18/NºAsuntos!G18)-Datos!BF18)/Datos!BF18," - ")</f>
        <v>-3.1931973598144738E-2</v>
      </c>
      <c r="K18" s="522">
        <f>IF(ISNUMBER((((NºAsuntos!C18+NºAsuntos!E18)/NºAsuntos!G18)-Datos!BG18)/Datos!BG18),(((NºAsuntos!C18+NºAsuntos!E18)/NºAsuntos!G18)-Datos!BG18)/Datos!BG18," - ")</f>
        <v>-6.9233900312064556E-2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0.14904942965779466</v>
      </c>
      <c r="C23" s="1152">
        <f>IF(ISNUMBER(
   IF(Criterios!B14="SI",(Datos!J23-Datos!T23)/Datos!T23,(Datos!J23+Datos!AD23-(Datos!T23+Datos!AL23))/(Datos!T23+Datos!AL23))
     ),IF(Criterios!B14="SI",(Datos!J23-Datos!T23)/Datos!T23,(Datos!J23+Datos!AD23-(Datos!T23+Datos!AL23))/(Datos!T23+Datos!AL23))," - ")</f>
        <v>-1.718494271685761E-2</v>
      </c>
      <c r="D23" s="1152">
        <f>IF(ISNUMBER(
   IF(Criterios!B14="SI",(Datos!K23-Datos!U23)/Datos!U23,(Datos!K23+Datos!AE23-(Datos!U23+Datos!AM23))/(Datos!U23+Datos!AM23))
     ),IF(Criterios!B14="SI",(Datos!K23-Datos!U23)/Datos!U23,(Datos!K23+Datos!AE23-(Datos!U23+Datos!AM23))/(Datos!U23+Datos!AM23))," - ")</f>
        <v>8.518035636679705E-2</v>
      </c>
      <c r="E23" s="1152">
        <f>IF(ISNUMBER(
   IF(Criterios!B14="SI",(Datos!L23-Datos!V23)/Datos!V23,(Datos!L23+Datos!AF23-(Datos!V23+Datos!AN23))/(Datos!V23+Datos!AN23))
     ),IF(Criterios!B14="SI",(Datos!L23-Datos!V23)/Datos!V23,(Datos!L23+Datos!AF23-(Datos!V23+Datos!AN23))/(Datos!V23+Datos!AN23))," - ")</f>
        <v>-2.2486772486772486E-2</v>
      </c>
      <c r="F23" s="1153">
        <f>IF(ISNUMBER((Datos!M23-Datos!W23)/Datos!W23),(Datos!M23-Datos!W23)/Datos!W23," - ")</f>
        <v>6.8817204301075269E-2</v>
      </c>
      <c r="G23" s="1154">
        <f>IF(ISNUMBER((Datos!N23-Datos!X23)/Datos!X23),(Datos!N23-Datos!X23)/Datos!X23," - ")</f>
        <v>0.1855583543240974</v>
      </c>
      <c r="H23" s="1154">
        <f>IF(ISNUMBER(((NºAsuntos!G23/NºAsuntos!E23)-Datos!BD23)/Datos!BD23),((NºAsuntos!G23/NºAsuntos!E23)-Datos!BD23)/Datos!BD23," - ")</f>
        <v>0.10415520023332707</v>
      </c>
      <c r="I23" s="1154">
        <f>IF(ISNUMBER(((NºAsuntos!I23/NºAsuntos!G23)-Datos!BE23)/Datos!BE23),((NºAsuntos!I23/NºAsuntos!G23)-Datos!BE23)/Datos!BE23," - ")</f>
        <v>-9.921588445817528E-2</v>
      </c>
      <c r="J23" s="1154">
        <f>IF(ISNUMBER((('Resol  Asuntos'!D23/NºAsuntos!G23)-Datos!BF23)/Datos!BF23),(('Resol  Asuntos'!D23/NºAsuntos!G23)-Datos!BF23)/Datos!BF23," - ")</f>
        <v>-1.5078739648868912E-2</v>
      </c>
      <c r="K23" s="1154">
        <f>IF(ISNUMBER((((NºAsuntos!C23+NºAsuntos!E23)/NºAsuntos!G23)-Datos!BG23)/Datos!BG23),(((NºAsuntos!C23+NºAsuntos!E23)/NºAsuntos!G23)-Datos!BG23)/Datos!BG23," - ")</f>
        <v>-4.0741627383027279E-2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0.11623134328358209</v>
      </c>
      <c r="C31" s="1092">
        <f>IF(ISNUMBER(
   IF(J_V="SI",(Datos!J31-Datos!T31)/Datos!T31,(Datos!J31+Datos!Z31-(Datos!T31+Datos!AH31))/(Datos!T31+Datos!AH31))
     ),IF(J_V="SI",(Datos!J31-Datos!T31)/Datos!T31,(Datos!J31+Datos!Z31-(Datos!T31+Datos!AH31))/(Datos!T31+Datos!AH31))," - ")</f>
        <v>0.13772048846675713</v>
      </c>
      <c r="D31" s="1092">
        <f>IF(ISNUMBER(
   IF(J_V="SI",(Datos!K31-Datos!U31)/Datos!U31,(Datos!K31+Datos!AA31-(Datos!U31+Datos!AI31))/(Datos!U31+Datos!AI31))
     ),IF(J_V="SI",(Datos!K31-Datos!U31)/Datos!U31,(Datos!K31+Datos!AA31-(Datos!U31+Datos!AI31))/(Datos!U31+Datos!AI31))," - ")</f>
        <v>0.18474861679095503</v>
      </c>
      <c r="E31" s="1092">
        <f>IF(ISNUMBER(
   IF(J_V="SI",(Datos!L31-Datos!V31)/Datos!V31,(Datos!L31+Datos!AB31-(Datos!V31+Datos!AJ31))/(Datos!V31+Datos!AJ31))
     ),IF(J_V="SI",(Datos!L31-Datos!V31)/Datos!V31,(Datos!L31+Datos!AB31-(Datos!V31+Datos!AJ31))/(Datos!V31+Datos!AJ31))," - ")</f>
        <v>8.3113224159182958E-2</v>
      </c>
      <c r="F31" s="1093">
        <f>IF(ISNUMBER((Datos!M31-Datos!W31)/Datos!W31),(Datos!M31-Datos!W31)/Datos!W31," - ")</f>
        <v>-6.2906724511930592E-2</v>
      </c>
      <c r="G31" s="1094">
        <f>IF(ISNUMBER((Datos!N31-Datos!X31)/Datos!X31),(Datos!N31-Datos!X31)/Datos!X31," - ")</f>
        <v>0.26176311519740403</v>
      </c>
      <c r="H31" s="1095">
        <f>IF(ISNUMBER((Tasas!B31-Datos!BD31)/Datos!BD31),(Tasas!B31-Datos!BD31)/Datos!BD31," - ")</f>
        <v>4.1335397227112471E-2</v>
      </c>
      <c r="I31" s="1096">
        <f>IF(ISNUMBER((Tasas!C31-Datos!BE31)/Datos!BE31),(Tasas!C31-Datos!BE31)/Datos!BE31," - ")</f>
        <v>-8.5786462369599262E-2</v>
      </c>
      <c r="J31" s="1097">
        <f>IF(ISNUMBER((Tasas!D31-Datos!BF31)/Datos!BF31),(Tasas!D31-Datos!BF31)/Datos!BF31," - ")</f>
        <v>-0.35291159765605645</v>
      </c>
      <c r="K31" s="1097">
        <f>IF(ISNUMBER((Tasas!E31-Datos!BG31)/Datos!BG31),(Tasas!E31-Datos!BG31)/Datos!BG31," - ")</f>
        <v>-4.9633315931987332E-2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SSdIKGb2HbfrmlunmNZKRU3PsKdOUI9B8+6n3h+M4uKd8XK6hj+MibzBfBT8HF8GlHQMBWATVPS0bIKmvnfNg==" saltValue="AdhEFmuBS9tjAKCZo0YA8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GANDIA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0.92777564348828279</v>
      </c>
      <c r="C9" s="498">
        <f>IF(ISNUMBER(NºAsuntos!I9/NºAsuntos!G9),NºAsuntos!I9/NºAsuntos!G9," - ")</f>
        <v>1.9068322981366459</v>
      </c>
      <c r="D9" s="499">
        <f>IF(ISNUMBER('Resol  Asuntos'!D9/NºAsuntos!G9),'Resol  Asuntos'!D9/NºAsuntos!G9," - ")</f>
        <v>0.15072463768115943</v>
      </c>
      <c r="E9" s="500">
        <f>IF(ISNUMBER((NºAsuntos!C9+NºAsuntos!E9)/NºAsuntos!G9),(NºAsuntos!C9+NºAsuntos!E9)/NºAsuntos!G9," - ")</f>
        <v>2.9068322981366461</v>
      </c>
      <c r="G9" s="523"/>
    </row>
    <row r="10" spans="1:7">
      <c r="A10" s="450" t="str">
        <f>Datos!A10</f>
        <v>Jdos. Violencia contra la mujer</v>
      </c>
      <c r="B10" s="497">
        <f>IF(ISNUMBER(NºAsuntos!G10/NºAsuntos!E10),NºAsuntos!G10/NºAsuntos!E10," - ")</f>
        <v>0.5</v>
      </c>
      <c r="C10" s="498">
        <f>IF(ISNUMBER(NºAsuntos!I10/NºAsuntos!G10),NºAsuntos!I10/NºAsuntos!G10," - ")</f>
        <v>5.1538461538461542</v>
      </c>
      <c r="D10" s="499">
        <f>IF(ISNUMBER('Resol  Asuntos'!D10/NºAsuntos!G10),'Resol  Asuntos'!D10/NºAsuntos!G10," - ")</f>
        <v>0.23076923076923078</v>
      </c>
      <c r="E10" s="500">
        <f>IF(ISNUMBER((NºAsuntos!C10+NºAsuntos!E10)/NºAsuntos!G10),(NºAsuntos!C10+NºAsuntos!E10)/NºAsuntos!G10," - ")</f>
        <v>6.1538461538461542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0.92354507417268927</v>
      </c>
      <c r="C14" s="1156">
        <f>IF(ISNUMBER(NºAsuntos!I14/NºAsuntos!G14),NºAsuntos!I14/NºAsuntos!G14," - ")</f>
        <v>1.9246293245469521</v>
      </c>
      <c r="D14" s="1157">
        <f>IF(ISNUMBER('Resol  Asuntos'!D14/NºAsuntos!G14),'Resol  Asuntos'!D14/NºAsuntos!G14," - ")</f>
        <v>0.15115321252059308</v>
      </c>
      <c r="E14" s="1158">
        <f>IF(ISNUMBER((NºAsuntos!C14+NºAsuntos!E14)/NºAsuntos!G14),(NºAsuntos!C14+NºAsuntos!E14)/NºAsuntos!G14," - ")</f>
        <v>2.9246293245469523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1.0407784986098239</v>
      </c>
      <c r="C16" s="498">
        <f>IF(ISNUMBER(NºAsuntos!I16/NºAsuntos!G16),NºAsuntos!I16/NºAsuntos!G16," - ")</f>
        <v>0.6170970614425646</v>
      </c>
      <c r="D16" s="499">
        <f>IF(ISNUMBER('Resol  Asuntos'!D16/NºAsuntos!G16),'Resol  Asuntos'!D16/NºAsuntos!G16," - ")</f>
        <v>0.18833481745325023</v>
      </c>
      <c r="E16" s="500">
        <f>IF(ISNUMBER((NºAsuntos!C16+NºAsuntos!E16)/NºAsuntos!G16),(NºAsuntos!C16+NºAsuntos!E16)/NºAsuntos!G16," - ")</f>
        <v>1.589492430988424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1.028688524590164</v>
      </c>
      <c r="C18" s="498">
        <f>IF(ISNUMBER(NºAsuntos!I18/NºAsuntos!G18),NºAsuntos!I18/NºAsuntos!G18," - ")</f>
        <v>0.36653386454183268</v>
      </c>
      <c r="D18" s="499">
        <f>IF(ISNUMBER('Resol  Asuntos'!D18/NºAsuntos!G18),'Resol  Asuntos'!D18/NºAsuntos!G18," - ")</f>
        <v>0.29482071713147412</v>
      </c>
      <c r="E18" s="500">
        <f>IF(ISNUMBER((NºAsuntos!C18+NºAsuntos!E18)/NºAsuntos!G18),(NºAsuntos!C18+NºAsuntos!E18)/NºAsuntos!G18," - ")</f>
        <v>1.3665338645418326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1.0395503746877601</v>
      </c>
      <c r="C23" s="1156">
        <f>IF(ISNUMBER(NºAsuntos!I23/NºAsuntos!G23),NºAsuntos!I23/NºAsuntos!G23," - ")</f>
        <v>0.59191029235082093</v>
      </c>
      <c r="D23" s="1159">
        <f>IF(ISNUMBER('Resol  Asuntos'!D23/NºAsuntos!G23),'Resol  Asuntos'!D23/NºAsuntos!G23," - ")</f>
        <v>0.19903884661593912</v>
      </c>
      <c r="E23" s="1158">
        <f>IF(ISNUMBER((NºAsuntos!C23+NºAsuntos!E23)/NºAsuntos!G23),(NºAsuntos!C23+NºAsuntos!E23)/NºAsuntos!G23," - ")</f>
        <v>1.5670804965959151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0.97893063009342074</v>
      </c>
      <c r="C31" s="1099">
        <f>IF(ISNUMBER(NºAsuntos!I31/NºAsuntos!G31),NºAsuntos!I31/NºAsuntos!G31," - ")</f>
        <v>1.2489340101522843</v>
      </c>
      <c r="D31" s="1100">
        <f>IF(ISNUMBER('Resol  Asuntos'!D31/NºAsuntos!G31),'Resol  Asuntos'!D31/NºAsuntos!G31," - ")</f>
        <v>0.17543147208121829</v>
      </c>
      <c r="E31" s="1101">
        <f>IF(ISNUMBER((NºAsuntos!C31+NºAsuntos!E31)/NºAsuntos!G31),(NºAsuntos!C31+NºAsuntos!E31)/NºAsuntos!G31," - ")</f>
        <v>2.2363451776649748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MZXbygzV3wdSzrSC/8KNJknfPYb1Va1VLI7cU7PE9P65t3Wq12d7qAWnqpVTh/pJj1yqNiWsv0zh+ryFkiIWQ==" saltValue="gHcVkKVe0woXWb/hD9xRA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GANDIA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550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483</v>
      </c>
      <c r="Y9" s="374">
        <f>SUM(W9:X9)</f>
        <v>483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7393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364</v>
      </c>
      <c r="AJ9" s="243" t="str">
        <f>IF(ISNUMBER(Datos!BW9),Datos!BW9," - ")</f>
        <v xml:space="preserve"> - </v>
      </c>
      <c r="AK9" s="242" t="str">
        <f>IF(ISNUMBER(Datos!BX9),Datos!BX9," - ")</f>
        <v xml:space="preserve"> - </v>
      </c>
      <c r="AL9" s="266">
        <f>IF(ISNUMBER(NºAsuntos!G9/NºAsuntos!E9),NºAsuntos!G9/NºAsuntos!E9," - ")</f>
        <v>0.92777564348828279</v>
      </c>
      <c r="AM9" s="284">
        <f>IF(ISNUMBER(((NºAsuntos!I9/NºAsuntos!G9)*11)/factor_trimestre),((NºAsuntos!I9/NºAsuntos!G9)*11)/factor_trimestre," - ")</f>
        <v>5.7204968944099379</v>
      </c>
      <c r="AN9" s="267">
        <f>IF(ISNUMBER('Resol  Asuntos'!D9/NºAsuntos!G9),'Resol  Asuntos'!D9/NºAsuntos!G9," - ")</f>
        <v>0.15072463768115943</v>
      </c>
      <c r="AO9" s="268">
        <f>IF(ISNUMBER((NºAsuntos!C9+NºAsuntos!E9)/NºAsuntos!G9),(NºAsuntos!C9+NºAsuntos!E9)/NºAsuntos!G9," - ")</f>
        <v>2.9068322981366461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54</v>
      </c>
      <c r="G10" s="373">
        <f>IF(ISNUMBER(Datos!I10),Datos!I10," - ")</f>
        <v>54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6</v>
      </c>
      <c r="Y10" s="374">
        <f t="shared" ref="Y10:Y13" si="0">SUM(W10:X10)</f>
        <v>19</v>
      </c>
      <c r="Z10" s="375" t="str">
        <f>IF(ISNUMBER(Datos!CC10),Datos!CC10," - ")</f>
        <v xml:space="preserve"> - </v>
      </c>
      <c r="AA10" s="372">
        <f>IF(ISNUMBER(Datos!L10),Datos!L10,"-")</f>
        <v>67</v>
      </c>
      <c r="AB10" s="374">
        <f>IF(ISNUMBER(Datos!R10),Datos!R10," - ")</f>
        <v>61</v>
      </c>
      <c r="AC10" s="374">
        <f t="shared" ref="AC10:AC13" si="1">IF(ISNUMBER(AA10+AB10),AA10+AB10," - ")</f>
        <v>128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15.461538461538462</v>
      </c>
      <c r="AN10" s="267">
        <f>IF(ISNUMBER('Resol  Asuntos'!D10/NºAsuntos!G10),'Resol  Asuntos'!D10/NºAsuntos!G10," - ")</f>
        <v>0.23076923076923078</v>
      </c>
      <c r="AO10" s="268">
        <f>IF(ISNUMBER((NºAsuntos!C10+NºAsuntos!E10)/NºAsuntos!G10),(NºAsuntos!C10+NºAsuntos!E10)/NºAsuntos!G10," - ")</f>
        <v>6.1538461538461542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v>
      </c>
      <c r="Y12" s="374">
        <f t="shared" si="0"/>
        <v>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54</v>
      </c>
      <c r="G14" s="1163">
        <f t="shared" si="5"/>
        <v>54</v>
      </c>
      <c r="H14" s="1162">
        <f t="shared" si="5"/>
        <v>0</v>
      </c>
      <c r="I14" s="1164">
        <f t="shared" si="5"/>
        <v>0</v>
      </c>
      <c r="J14" s="1164">
        <f t="shared" si="5"/>
        <v>0</v>
      </c>
      <c r="K14" s="1164">
        <f t="shared" si="5"/>
        <v>0</v>
      </c>
      <c r="L14" s="1164">
        <f t="shared" si="5"/>
        <v>743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490</v>
      </c>
      <c r="Y14" s="1165">
        <f t="shared" si="6"/>
        <v>503</v>
      </c>
      <c r="Z14" s="1165">
        <f t="shared" si="6"/>
        <v>0</v>
      </c>
      <c r="AA14" s="1165">
        <f t="shared" si="6"/>
        <v>67</v>
      </c>
      <c r="AB14" s="1165">
        <f t="shared" si="6"/>
        <v>7735</v>
      </c>
      <c r="AC14" s="1165">
        <f t="shared" si="6"/>
        <v>128</v>
      </c>
      <c r="AD14" s="1165">
        <f t="shared" si="6"/>
        <v>0</v>
      </c>
      <c r="AE14" s="1169">
        <f t="shared" si="6"/>
        <v>0</v>
      </c>
      <c r="AF14" s="1162">
        <f t="shared" si="6"/>
        <v>0</v>
      </c>
      <c r="AG14" s="1170">
        <f t="shared" si="6"/>
        <v>0</v>
      </c>
      <c r="AH14" s="1167">
        <f t="shared" si="6"/>
        <v>0</v>
      </c>
      <c r="AI14" s="1162">
        <f t="shared" si="6"/>
        <v>367</v>
      </c>
      <c r="AJ14" s="1164">
        <f t="shared" si="6"/>
        <v>0</v>
      </c>
      <c r="AK14" s="1167">
        <f>SUBTOTAL(9,AK9:AK13)</f>
        <v>0</v>
      </c>
      <c r="AL14" s="1171">
        <f>IF(ISNUMBER(NºAsuntos!G14/NºAsuntos!E14),NºAsuntos!G14/NºAsuntos!E14," - ")</f>
        <v>0.92354507417268927</v>
      </c>
      <c r="AM14" s="1171">
        <f>IF(ISNUMBER(((NºAsuntos!I14/NºAsuntos!G14)*11)/factor_trimestre),((NºAsuntos!I14/NºAsuntos!G14)*11)/factor_trimestre," - ")</f>
        <v>5.7738879736408562</v>
      </c>
      <c r="AN14" s="1172">
        <f>IF(ISNUMBER('Resol  Asuntos'!D14/NºAsuntos!G14),'Resol  Asuntos'!D14/NºAsuntos!G14," - ")</f>
        <v>0.15115321252059308</v>
      </c>
      <c r="AO14" s="1173">
        <f>IF(ISNUMBER((NºAsuntos!C14+NºAsuntos!E14)/NºAsuntos!G14),(NºAsuntos!C14+NºAsuntos!E14)/NºAsuntos!G14," - ")</f>
        <v>2.9246293245469523</v>
      </c>
      <c r="AP14" s="1174" t="str">
        <f t="shared" si="2"/>
        <v xml:space="preserve"> - </v>
      </c>
      <c r="AQ14" s="1174">
        <f>IF(ISNUMBER((H14-W14+K14)/(F14)),(H14-W14+K14)/(F14)," - ")</f>
        <v>-0.24074074074074073</v>
      </c>
      <c r="AR14" s="1175">
        <f>IF(ISNUMBER((Datos!P14-Datos!Q14)/(Datos!R14-Datos!P14+Datos!Q14)),(Datos!P14-Datos!Q14)/(Datos!R14-Datos!P14+Datos!Q14)," - ")</f>
        <v>3.3814488104784816E-2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1474</v>
      </c>
      <c r="G16" s="373">
        <f>IF(ISNUMBER(IF(D_I="SI",Datos!I16,Datos!I16+Datos!AC16)),IF(D_I="SI",Datos!I16,Datos!I16+Datos!AC16)," - ")</f>
        <v>1412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2246</v>
      </c>
      <c r="X16" s="240">
        <f>IF(ISNUMBER(Datos!Q16),Datos!Q16," - ")</f>
        <v>93</v>
      </c>
      <c r="Y16" s="374">
        <f>SUM(W16)</f>
        <v>2246</v>
      </c>
      <c r="Z16" s="375" t="str">
        <f>IF(ISNUMBER(Datos!CC16),Datos!CC16," - ")</f>
        <v xml:space="preserve"> - </v>
      </c>
      <c r="AA16" s="372">
        <f>IF(ISNUMBER(IF(D_I="SI",Datos!L16,Datos!L16+Datos!AF16)),IF(D_I="SI",Datos!L16,Datos!L16+Datos!AF16)," - ")</f>
        <v>1386</v>
      </c>
      <c r="AB16" s="374">
        <f>IF(ISNUMBER(Datos!R16),Datos!R16," - ")</f>
        <v>313</v>
      </c>
      <c r="AC16" s="374">
        <f t="shared" ref="AC16:AC22" si="8">IF(ISNUMBER(AA16+AB16),AA16+AB16," - ")</f>
        <v>1699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423</v>
      </c>
      <c r="AJ16" s="245" t="str">
        <f>IF(ISNUMBER(Datos!BW16),Datos!BW16," - ")</f>
        <v xml:space="preserve"> - </v>
      </c>
      <c r="AK16" s="246" t="str">
        <f>IF(ISNUMBER(Datos!BX16),Datos!BX16," - ")</f>
        <v xml:space="preserve"> - </v>
      </c>
      <c r="AL16" s="266">
        <f>IF(ISNUMBER(NºAsuntos!G16/NºAsuntos!E16),NºAsuntos!G16/NºAsuntos!E16," - ")</f>
        <v>1.0407784986098239</v>
      </c>
      <c r="AM16" s="284">
        <f>IF(ISNUMBER(((NºAsuntos!I16/NºAsuntos!G16)*11)/factor_trimestre),((NºAsuntos!I16/NºAsuntos!G16)*11)/factor_trimestre," - ")</f>
        <v>1.851291184327694</v>
      </c>
      <c r="AN16" s="267">
        <f>IF(ISNUMBER('Resol  Asuntos'!D16/NºAsuntos!G16),'Resol  Asuntos'!D16/NºAsuntos!G16," - ")</f>
        <v>0.18833481745325023</v>
      </c>
      <c r="AO16" s="268">
        <f>IF(ISNUMBER((NºAsuntos!C16+NºAsuntos!E16)/NºAsuntos!G16),(NºAsuntos!C16+NºAsuntos!E16)/NºAsuntos!G16," - ")</f>
        <v>1.589492430988424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0</v>
      </c>
      <c r="G17" s="373">
        <f>IF(ISNUMBER(IF(D_I="SI",Datos!I17,Datos!I17+Datos!AC17)),IF(D_I="SI",Datos!I17,Datos!I17+Datos!AC17)," - ")</f>
        <v>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251</v>
      </c>
      <c r="X18" s="240">
        <f>IF(ISNUMBER(Datos!Q18),Datos!Q18," - ")</f>
        <v>7</v>
      </c>
      <c r="Y18" s="374">
        <f t="shared" si="9"/>
        <v>258</v>
      </c>
      <c r="Z18" s="375" t="str">
        <f>IF(ISNUMBER(Datos!CC18),Datos!CC18," - ")</f>
        <v xml:space="preserve"> - </v>
      </c>
      <c r="AA18" s="372">
        <f>IF(ISNUMBER(Datos!L18),Datos!L18,"-")</f>
        <v>92</v>
      </c>
      <c r="AB18" s="374">
        <f>IF(ISNUMBER(Datos!R18),Datos!R18," - ")</f>
        <v>20</v>
      </c>
      <c r="AC18" s="374">
        <f t="shared" si="8"/>
        <v>112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74</v>
      </c>
      <c r="AJ18" s="245" t="str">
        <f>IF(ISNUMBER(Datos!BW18),Datos!BW18," - ")</f>
        <v xml:space="preserve"> - </v>
      </c>
      <c r="AK18" s="246" t="str">
        <f>IF(ISNUMBER(Datos!BX18),Datos!BX18," - ")</f>
        <v xml:space="preserve"> - </v>
      </c>
      <c r="AL18" s="266">
        <f>IF(ISNUMBER(NºAsuntos!G18/NºAsuntos!E18),NºAsuntos!G18/NºAsuntos!E18," - ")</f>
        <v>1.028688524590164</v>
      </c>
      <c r="AM18" s="284">
        <f>IF(ISNUMBER(((NºAsuntos!I18/NºAsuntos!G18)*11)/factor_trimestre),((NºAsuntos!I18/NºAsuntos!G18)*11)/factor_trimestre," - ")</f>
        <v>1.0996015936254981</v>
      </c>
      <c r="AN18" s="267">
        <f>IF(ISNUMBER('Resol  Asuntos'!D18/NºAsuntos!G18),'Resol  Asuntos'!D18/NºAsuntos!G18," - ")</f>
        <v>0.29482071713147412</v>
      </c>
      <c r="AO18" s="268">
        <f>IF(ISNUMBER((NºAsuntos!C18+NºAsuntos!E18)/NºAsuntos!G18),(NºAsuntos!C18+NºAsuntos!E18)/NºAsuntos!G18," - ")</f>
        <v>1.3665338645418326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1474</v>
      </c>
      <c r="G23" s="1163">
        <f>SUBTOTAL(9,G16:G22)</f>
        <v>1511</v>
      </c>
      <c r="H23" s="1162">
        <f t="shared" ref="H23:O23" si="13">SUBTOTAL(9,H15:H22)</f>
        <v>0</v>
      </c>
      <c r="I23" s="1164">
        <f t="shared" si="13"/>
        <v>0</v>
      </c>
      <c r="J23" s="1164">
        <f t="shared" si="13"/>
        <v>0</v>
      </c>
      <c r="K23" s="1164">
        <f t="shared" si="13"/>
        <v>0</v>
      </c>
      <c r="L23" s="1164">
        <f t="shared" si="13"/>
        <v>119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2497</v>
      </c>
      <c r="X23" s="1164">
        <f t="shared" si="14"/>
        <v>100</v>
      </c>
      <c r="Y23" s="1165">
        <f t="shared" si="14"/>
        <v>2504</v>
      </c>
      <c r="Z23" s="1165">
        <f t="shared" si="14"/>
        <v>0</v>
      </c>
      <c r="AA23" s="1165">
        <f t="shared" si="14"/>
        <v>1478</v>
      </c>
      <c r="AB23" s="1165">
        <f t="shared" si="14"/>
        <v>333</v>
      </c>
      <c r="AC23" s="1165">
        <f t="shared" si="14"/>
        <v>1811</v>
      </c>
      <c r="AD23" s="1165">
        <f t="shared" si="14"/>
        <v>0</v>
      </c>
      <c r="AE23" s="1169">
        <f t="shared" si="14"/>
        <v>0</v>
      </c>
      <c r="AF23" s="1162">
        <f t="shared" si="14"/>
        <v>0</v>
      </c>
      <c r="AG23" s="1170">
        <f t="shared" si="14"/>
        <v>0</v>
      </c>
      <c r="AH23" s="1167">
        <f t="shared" si="14"/>
        <v>0</v>
      </c>
      <c r="AI23" s="1162">
        <f t="shared" si="14"/>
        <v>497</v>
      </c>
      <c r="AJ23" s="1164">
        <f t="shared" si="14"/>
        <v>0</v>
      </c>
      <c r="AK23" s="1167">
        <f t="shared" si="14"/>
        <v>0</v>
      </c>
      <c r="AL23" s="1171">
        <f>IF(ISNUMBER(NºAsuntos!G23/NºAsuntos!E23),NºAsuntos!G23/NºAsuntos!E23," - ")</f>
        <v>1.0395503746877601</v>
      </c>
      <c r="AM23" s="1171">
        <f>IF(ISNUMBER(((NºAsuntos!I23/NºAsuntos!G23)*11)/factor_trimestre),((NºAsuntos!I23/NºAsuntos!G23)*11)/factor_trimestre," - ")</f>
        <v>1.7757308770524629</v>
      </c>
      <c r="AN23" s="1172">
        <f>IF(ISNUMBER('Resol  Asuntos'!D23/NºAsuntos!G23),'Resol  Asuntos'!D23/NºAsuntos!G23," - ")</f>
        <v>0.19903884661593912</v>
      </c>
      <c r="AO23" s="1173">
        <f>IF(ISNUMBER((NºAsuntos!C23+NºAsuntos!E23)/NºAsuntos!G23),(NºAsuntos!C23+NºAsuntos!E23)/NºAsuntos!G23," - ")</f>
        <v>1.5670804965959151</v>
      </c>
      <c r="AP23" s="1174" t="str">
        <f t="shared" si="2"/>
        <v xml:space="preserve"> - </v>
      </c>
      <c r="AQ23" s="1174">
        <f>IF(ISNUMBER((H23-W23+K23)/(F23)),(H23-W23+K23)/(F23)," - ")</f>
        <v>-1.6940298507462686</v>
      </c>
      <c r="AR23" s="1175">
        <f>IF(ISNUMBER((Datos!P23-Datos!Q23)/(Datos!R23-Datos!P23+Datos!Q23)),(Datos!P23-Datos!Q23)/(Datos!R23-Datos!P23+Datos!Q23)," - ")</f>
        <v>6.0509554140127389E-2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1528</v>
      </c>
      <c r="G31" s="1118">
        <f t="shared" si="20"/>
        <v>1565</v>
      </c>
      <c r="H31" s="1117">
        <f t="shared" si="20"/>
        <v>0</v>
      </c>
      <c r="I31" s="1119">
        <f t="shared" si="20"/>
        <v>0</v>
      </c>
      <c r="J31" s="1119">
        <f t="shared" si="20"/>
        <v>0</v>
      </c>
      <c r="K31" s="1180">
        <f t="shared" si="20"/>
        <v>0</v>
      </c>
      <c r="L31" s="1119">
        <f t="shared" si="20"/>
        <v>862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2510</v>
      </c>
      <c r="X31" s="1118">
        <f t="shared" si="21"/>
        <v>590</v>
      </c>
      <c r="Y31" s="1125">
        <f t="shared" si="21"/>
        <v>3007</v>
      </c>
      <c r="Z31" s="1125">
        <f t="shared" si="21"/>
        <v>0</v>
      </c>
      <c r="AA31" s="1125">
        <f t="shared" si="21"/>
        <v>1545</v>
      </c>
      <c r="AB31" s="1125">
        <f t="shared" si="21"/>
        <v>8068</v>
      </c>
      <c r="AC31" s="1125">
        <f t="shared" si="21"/>
        <v>1939</v>
      </c>
      <c r="AD31" s="1125">
        <f t="shared" si="21"/>
        <v>0</v>
      </c>
      <c r="AE31" s="1127">
        <f t="shared" si="21"/>
        <v>0</v>
      </c>
      <c r="AF31" s="1128">
        <f t="shared" si="21"/>
        <v>0</v>
      </c>
      <c r="AG31" s="1129">
        <f t="shared" si="21"/>
        <v>0</v>
      </c>
      <c r="AH31" s="1127">
        <f t="shared" si="21"/>
        <v>0</v>
      </c>
      <c r="AI31" s="1117">
        <f t="shared" si="21"/>
        <v>864</v>
      </c>
      <c r="AJ31" s="1117">
        <f t="shared" si="21"/>
        <v>0</v>
      </c>
      <c r="AK31" s="1127">
        <f t="shared" si="21"/>
        <v>0</v>
      </c>
      <c r="AL31" s="1183">
        <f>IF(ISNUMBER(NºAsuntos!G31/NºAsuntos!E31),NºAsuntos!G31/NºAsuntos!E31," - ")</f>
        <v>0.97893063009342074</v>
      </c>
      <c r="AM31" s="1184">
        <f>IF(ISNUMBER(((NºAsuntos!I31/NºAsuntos!G31)*11)/factor_trimestre),((NºAsuntos!I31/NºAsuntos!G31)*11)/factor_trimestre," - ")</f>
        <v>3.7468020304568532</v>
      </c>
      <c r="AN31" s="1184">
        <f>IF(ISNUMBER('Resol  Asuntos'!D31/NºAsuntos!G31),'Resol  Asuntos'!D31/NºAsuntos!G31," - ")</f>
        <v>0.17543147208121829</v>
      </c>
      <c r="AO31" s="1185">
        <f>IF(ISNUMBER((NºAsuntos!C31+NºAsuntos!E31)/NºAsuntos!G31),(NºAsuntos!C31+NºAsuntos!E31)/NºAsuntos!G31," - ")</f>
        <v>2.2363451776649748</v>
      </c>
      <c r="AP31" s="1186" t="str">
        <f t="shared" si="2"/>
        <v xml:space="preserve"> - </v>
      </c>
      <c r="AQ31" s="1187">
        <f>IF(OR(ISNUMBER(FIND("01",Criterios!A8,1)),ISNUMBER(FIND("02",Criterios!A8,1)),ISNUMBER(FIND("03",Criterios!A8,1)),ISNUMBER(FIND("04",Criterios!A8,1))),(I31-W31+K31)/(F31-K31),(H31-W31+K31)/(F31-K31))</f>
        <v>-1.6426701570680629</v>
      </c>
      <c r="AR31" s="1188">
        <f>IF(ISNUMBER((Datos!P31-Datos!Q31)/(Datos!R31-Datos!P31+Datos!Q31)),(Datos!P31-Datos!Q31)/(Datos!R31-Datos!P31+Datos!Q31)," - ")</f>
        <v>3.4889687018984095E-2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391.25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2.1924911730403043</v>
      </c>
      <c r="F33" s="276">
        <f>IF(ISNUMBER(STDEV(F8:F30)),STDEV(F8:F30),"-")</f>
        <v>709.10997199373276</v>
      </c>
      <c r="G33" s="277">
        <f>IF(ISNUMBER(STDEV(G8:G30)),STDEV(G8:G30),"-")</f>
        <v>662.01915164355864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1081.85119124582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210.82104048484135</v>
      </c>
      <c r="AJ33" s="276">
        <f t="shared" si="25"/>
        <v>0</v>
      </c>
      <c r="AK33" s="278">
        <f t="shared" si="25"/>
        <v>0</v>
      </c>
      <c r="AL33" s="273">
        <f t="shared" si="25"/>
        <v>0.20812145715031316</v>
      </c>
      <c r="AM33" s="274">
        <f t="shared" si="25"/>
        <v>5.3965426760440121</v>
      </c>
      <c r="AN33" s="274">
        <f t="shared" si="25"/>
        <v>5.4501509590003973E-2</v>
      </c>
      <c r="AO33" s="275">
        <f t="shared" si="25"/>
        <v>1.8056192027214757</v>
      </c>
      <c r="AP33" s="317" t="str">
        <f t="shared" si="25"/>
        <v>-</v>
      </c>
      <c r="AQ33" s="318">
        <f t="shared" si="25"/>
        <v>1.0276305847094711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6qPq3aKDJQyS8xFjuLjKZbFUMGnvvxUSl7YJ7o7ah786GAGMcwh8HinNeBeyf3ruSlwOVzne7IfSS2SLs5xUQ==" saltValue="5VK5R1vgZAyGF8kOqQy9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GANDIA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-0.18018018018018017</v>
      </c>
      <c r="I9" s="395">
        <f>IF(ISNUMBER((Tasas!C9-Datos!BE9)/Datos!BE9),(Tasas!C9-Datos!BE9)/Datos!BE9," - ")</f>
        <v>-0.15287842886949304</v>
      </c>
      <c r="J9" s="394">
        <f>IF(ISNUMBER((Tasas!D9-Datos!BF9)/Datos!BF9),(Tasas!D9-Datos!BF9)/Datos!BF9," - ")</f>
        <v>-0.57430160112547723</v>
      </c>
      <c r="K9" s="396">
        <f>IF(ISNUMBER((Tasas!E9-Datos!BG9)/Datos!BG9),(Tasas!E9-Datos!BG9)/Datos!BG9," - ")</f>
        <v>-0.10585272655068433</v>
      </c>
      <c r="M9" t="e">
        <f>IF(Monitorios="SI",Datos!CE9,0)</f>
        <v>#REF!</v>
      </c>
      <c r="N9" t="e">
        <f>IF(Monitorios="SI",Datos!CF9,0)</f>
        <v>#REF!</v>
      </c>
      <c r="O9" t="e">
        <f>IF(Monitorios="SI",Datos!CG9,0)</f>
        <v>#REF!</v>
      </c>
      <c r="P9" t="e">
        <f>IF(Monitorios="SI",Datos!CH9,0)</f>
        <v>#REF!</v>
      </c>
      <c r="Q9">
        <f>IF(J_V="SI",0,Datos!AG9)</f>
        <v>235</v>
      </c>
      <c r="R9">
        <f>IF(J_V="SI",0,Datos!AH9)</f>
        <v>221</v>
      </c>
      <c r="S9">
        <f>IF(J_V="SI",0,Datos!AI9)</f>
        <v>190</v>
      </c>
      <c r="T9">
        <f>IF(J_V="SI",0,Datos!AJ9)</f>
        <v>266</v>
      </c>
    </row>
    <row r="10" spans="2:20" ht="14.25">
      <c r="B10" s="300" t="s">
        <v>321</v>
      </c>
      <c r="C10" s="7" t="str">
        <f>Datos!A10</f>
        <v>Jdos. Violencia contra la mujer</v>
      </c>
      <c r="D10" s="397">
        <f>IF(ISNUMBER((Datos!I10-Datos!S10)/Datos!S10),(Datos!I10-Datos!S10)/Datos!S10," - ")</f>
        <v>0.35</v>
      </c>
      <c r="E10" s="393">
        <f>IF(ISNUMBER((Datos!J10-Datos!T10)/Datos!T10),(Datos!J10-Datos!T10)/Datos!T10," - ")</f>
        <v>0.18181818181818182</v>
      </c>
      <c r="F10" s="393">
        <f>IF(ISNUMBER((Datos!K10-Datos!U10)/Datos!U10),(Datos!K10-Datos!U10)/Datos!U10," - ")</f>
        <v>-0.40909090909090912</v>
      </c>
      <c r="G10" s="394">
        <f>IF(ISNUMBER((Datos!L10-Datos!V10)/Datos!V10),(Datos!L10-Datos!V10)/Datos!V10," - ")</f>
        <v>0.67500000000000004</v>
      </c>
      <c r="H10" s="244">
        <f>IF(ISNUMBER((Datos!M10-Datos!W10)/Datos!W10),(Datos!M10-Datos!W10)/Datos!W10," - ")</f>
        <v>-0.76923076923076927</v>
      </c>
      <c r="I10" s="395">
        <f>IF(ISNUMBER((Tasas!C10-Datos!BE10)/Datos!BE10),(Tasas!C10-Datos!BE10)/Datos!BE10," - ")</f>
        <v>1.8346153846153848</v>
      </c>
      <c r="J10" s="394">
        <f>IF(ISNUMBER((Tasas!D10-Datos!BF10)/Datos!BF10),(Tasas!D10-Datos!BF10)/Datos!BF10," - ")</f>
        <v>-0.60946745562130178</v>
      </c>
      <c r="K10" s="396">
        <f>IF(ISNUMBER((Tasas!E10-Datos!BG10)/Datos!BG10),(Tasas!E10-Datos!BG10)/Datos!BG10," - ")</f>
        <v>1.1836228287841191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-0.19693654266958424</v>
      </c>
      <c r="I14" s="402">
        <f>IF(ISNUMBER((Tasas!C14-Datos!BE14)/Datos!BE14),(Tasas!C14-Datos!BE14)/Datos!BE14," - ")</f>
        <v>-0.14276169273838649</v>
      </c>
      <c r="J14" s="400">
        <f>IF(ISNUMBER((Tasas!D14-Datos!BF14)/Datos!BF14),(Tasas!D14-Datos!BF14)/Datos!BF14," - ")</f>
        <v>-0.57622301746492333</v>
      </c>
      <c r="K14" s="403">
        <f>IF(ISNUMBER((Tasas!E14-Datos!BG14)/Datos!BG14),(Tasas!E14-Datos!BG14)/Datos!BG14," - ")</f>
        <v>-9.8769379651478681E-2</v>
      </c>
      <c r="M14" t="e">
        <f>IF(Monitorios="SI",Datos!CE14,0)</f>
        <v>#REF!</v>
      </c>
      <c r="N14" t="e">
        <f>IF(Monitorios="SI",Datos!CF14,0)</f>
        <v>#REF!</v>
      </c>
      <c r="O14" t="e">
        <f>IF(Monitorios="SI",Datos!CG14,0)</f>
        <v>#REF!</v>
      </c>
      <c r="P14" t="e">
        <f>IF(Monitorios="SI",Datos!CH14,0)</f>
        <v>#REF!</v>
      </c>
      <c r="Q14">
        <f>IF(J_V="SI",0,Datos!AG14)</f>
        <v>235</v>
      </c>
      <c r="R14">
        <f>IF(J_V="SI",0,Datos!AH14)</f>
        <v>221</v>
      </c>
      <c r="S14">
        <f>IF(J_V="SI",0,Datos!AI14)</f>
        <v>190</v>
      </c>
      <c r="T14">
        <f>IF(J_V="SI",0,Datos!AJ14)</f>
        <v>266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0.16213991769547326</v>
      </c>
      <c r="E16" s="393">
        <f>IF(ISNUMBER(
   IF(D_I="SI",(Datos!J16-Datos!T16)/Datos!T16,(Datos!J16+Datos!AD16-(Datos!T16+Datos!AL16))/(Datos!T16+Datos!AL16))
     ),IF(D_I="SI",(Datos!J16-Datos!T16)/Datos!T16,(Datos!J16+Datos!AD16-(Datos!T16+Datos!AL16))/(Datos!T16+Datos!AL16))," - ")</f>
        <v>-2.7489860297431275E-2</v>
      </c>
      <c r="F16" s="393">
        <f>IF(ISNUMBER(
   IF(D_I="SI",(Datos!K16-Datos!U16)/Datos!U16,(Datos!K16+Datos!AE16-(Datos!U16+Datos!AM16))/(Datos!U16+Datos!AM16))
     ),IF(D_I="SI",(Datos!K16-Datos!U16)/Datos!U16,(Datos!K16+Datos!AE16-(Datos!U16+Datos!AM16))/(Datos!U16+Datos!AM16))," - ")</f>
        <v>8.032708032708033E-2</v>
      </c>
      <c r="G16" s="394">
        <f>IF(ISNUMBER(
   IF(D_I="SI",(Datos!L16-Datos!V16)/Datos!V16,(Datos!L16+Datos!AF16-(Datos!V16+Datos!AN16))/(Datos!V16+Datos!AN16))
     ),IF(D_I="SI",(Datos!L16-Datos!V16)/Datos!V16,(Datos!L16+Datos!AF16-(Datos!V16+Datos!AN16))/(Datos!V16+Datos!AN16))," - ")</f>
        <v>-1.6323633782824698E-2</v>
      </c>
      <c r="H16" s="244">
        <f>IF(ISNUMBER((Datos!M16-Datos!W16)/Datos!W16),(Datos!M16-Datos!W16)/Datos!W16," - ")</f>
        <v>6.2814070351758788E-2</v>
      </c>
      <c r="I16" s="395">
        <f>IF(ISNUMBER((Tasas!C16-Datos!BE16)/Datos!BE16),(Tasas!C16-Datos!BE16)/Datos!BE16," - ")</f>
        <v>-8.9464307495321652E-2</v>
      </c>
      <c r="J16" s="394">
        <f>IF(ISNUMBER((Tasas!D16-Datos!BF16)/Datos!BF16),(Tasas!D16-Datos!BF16)/Datos!BF16," - ")</f>
        <v>-1.62108404891778E-2</v>
      </c>
      <c r="K16" s="396">
        <f>IF(ISNUMBER((Tasas!E16-Datos!BG16)/Datos!BG16),(Tasas!E16-Datos!BG16)/Datos!BG16," - ")</f>
        <v>-3.7695176463327484E-2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1.020408163265306E-2</v>
      </c>
      <c r="E18" s="393">
        <f>IF(ISNUMBER(
   IF(D_I="SI",(Datos!J18-Datos!T18)/Datos!T18,(Datos!J18+Datos!AD18-(Datos!T18+Datos!AL18))/(Datos!T18+Datos!AL18))
     ),IF(D_I="SI",(Datos!J18-Datos!T18)/Datos!T18,(Datos!J18+Datos!AD18-(Datos!T18+Datos!AL18))/(Datos!T18+Datos!AL18))," - ")</f>
        <v>8.4444444444444447E-2</v>
      </c>
      <c r="F18" s="393">
        <f>IF(ISNUMBER(
   IF(D_I="SI",(Datos!K18-Datos!U18)/Datos!U18,(Datos!K18+Datos!AE18-(Datos!U18+Datos!AM18))/(Datos!U18+Datos!AM18))
     ),IF(D_I="SI",(Datos!K18-Datos!U18)/Datos!U18,(Datos!K18+Datos!AE18-(Datos!U18+Datos!AM18))/(Datos!U18+Datos!AM18))," - ")</f>
        <v>0.1409090909090909</v>
      </c>
      <c r="G18" s="394">
        <f>IF(ISNUMBER(
   IF(D_I="SI",(Datos!L18-Datos!V18)/Datos!V18,(Datos!L18+Datos!AF18-(Datos!V18+Datos!AN18))/(Datos!V18+Datos!AN18))
     ),IF(D_I="SI",(Datos!L18-Datos!V18)/Datos!V18,(Datos!L18+Datos!AF18-(Datos!V18+Datos!AN18))/(Datos!V18+Datos!AN18))," - ")</f>
        <v>-0.10679611650485436</v>
      </c>
      <c r="H18" s="244">
        <f>IF(ISNUMBER((Datos!M18-Datos!W18)/Datos!W18),(Datos!M18-Datos!W18)/Datos!W18," - ")</f>
        <v>0.1044776119402985</v>
      </c>
      <c r="I18" s="395">
        <f>IF(ISNUMBER((Tasas!C18-Datos!BE18)/Datos!BE18),(Tasas!C18-Datos!BE18)/Datos!BE18," - ")</f>
        <v>-0.21711213398831858</v>
      </c>
      <c r="J18" s="394">
        <f>IF(ISNUMBER((Tasas!D18-Datos!BF18)/Datos!BF18),(Tasas!D18-Datos!BF18)/Datos!BF18," - ")</f>
        <v>-3.1931973598144738E-2</v>
      </c>
      <c r="K18" s="396">
        <f>IF(ISNUMBER((Tasas!E18-Datos!BG18)/Datos!BG18),(Tasas!E18-Datos!BG18)/Datos!BG18," - ")</f>
        <v>-6.9233900312064556E-2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0.14904942965779466</v>
      </c>
      <c r="E23" s="399">
        <f>IF(ISNUMBER(
   IF(D_I="SI",(Datos!J23-Datos!T23)/Datos!T23,(Datos!J23+Datos!AD23-(Datos!T23+Datos!AL23))/(Datos!T23+Datos!AL23))
     ),IF(D_I="SI",(Datos!J23-Datos!T23)/Datos!T23,(Datos!J23+Datos!AD23-(Datos!T23+Datos!AL23))/(Datos!T23+Datos!AL23))," - ")</f>
        <v>-1.718494271685761E-2</v>
      </c>
      <c r="F23" s="399">
        <f>IF(ISNUMBER(
   IF(D_I="SI",(Datos!K23-Datos!U23)/Datos!U23,(Datos!K23+Datos!AE23-(Datos!U23+Datos!AM23))/(Datos!U23+Datos!AM23))
     ),IF(D_I="SI",(Datos!K23-Datos!U23)/Datos!U23,(Datos!K23+Datos!AE23-(Datos!U23+Datos!AM23))/(Datos!U23+Datos!AM23))," - ")</f>
        <v>8.518035636679705E-2</v>
      </c>
      <c r="G23" s="400">
        <f>IF(ISNUMBER(
   IF(D_I="SI",(Datos!L23-Datos!V23)/Datos!V23,(Datos!L23+Datos!AF23-(Datos!V23+Datos!AN23))/(Datos!V23+Datos!AN23))
     ),IF(D_I="SI",(Datos!L23-Datos!V23)/Datos!V23,(Datos!L23+Datos!AF23-(Datos!V23+Datos!AN23))/(Datos!V23+Datos!AN23))," - ")</f>
        <v>-2.2486772486772486E-2</v>
      </c>
      <c r="H23" s="401">
        <f>IF(ISNUMBER((Datos!M23-Datos!W23)/Datos!W23),(Datos!M23-Datos!W23)/Datos!W23," - ")</f>
        <v>6.8817204301075269E-2</v>
      </c>
      <c r="I23" s="402">
        <f>IF(ISNUMBER((Tasas!C23-Datos!BE23)/Datos!BE23),(Tasas!C23-Datos!BE23)/Datos!BE23," - ")</f>
        <v>-9.921588445817528E-2</v>
      </c>
      <c r="J23" s="400">
        <f>IF(ISNUMBER((Tasas!D23-Datos!BF23)/Datos!BF23),(Tasas!D23-Datos!BF23)/Datos!BF23," - ")</f>
        <v>-1.5078739648868912E-2</v>
      </c>
      <c r="K23" s="403">
        <f>IF(ISNUMBER((Tasas!E23-Datos!BG23)/Datos!BG23),(Tasas!E23-Datos!BG23)/Datos!BG23," - ")</f>
        <v>-4.0741627383027279E-2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0.11623134328358209</v>
      </c>
      <c r="E31" s="409">
        <f>IF(ISNUMBER(
   IF(J_V="SI",(Datos!J31-Datos!T31)/Datos!T31,(Datos!J31+Datos!Z31-(Datos!T31+Datos!AH31))/(Datos!T31+Datos!AH31))
     ),IF(J_V="SI",(Datos!J31-Datos!T31)/Datos!T31,(Datos!J31+Datos!Z31-(Datos!T31+Datos!AH31))/(Datos!T31+Datos!AH31))," - ")</f>
        <v>0.13772048846675713</v>
      </c>
      <c r="F31" s="409">
        <f>IF(ISNUMBER(
   IF(J_V="SI",(Datos!K31-Datos!U31)/Datos!U31,(Datos!K31+Datos!AA31-(Datos!U31+Datos!AI31))/(Datos!U31+Datos!AI31))
     ),IF(J_V="SI",(Datos!K31-Datos!U31)/Datos!U31,(Datos!K31+Datos!AA31-(Datos!U31+Datos!AI31))/(Datos!U31+Datos!AI31))," - ")</f>
        <v>0.18474861679095503</v>
      </c>
      <c r="G31" s="410">
        <f>IF(ISNUMBER(
   IF(J_V="SI",(Datos!L31-Datos!V31)/Datos!V31,(Datos!L31+Datos!AB31-(Datos!V31+Datos!AJ31))/(Datos!V31+Datos!AJ31))
     ),IF(J_V="SI",(Datos!L31-Datos!V31)/Datos!V31,(Datos!L31+Datos!AB31-(Datos!V31+Datos!AJ31))/(Datos!V31+Datos!AJ31))," - ")</f>
        <v>8.3113224159182958E-2</v>
      </c>
      <c r="H31" s="411">
        <f>IF(ISNUMBER((Datos!M31-Datos!W31)/Datos!W31),(Datos!M31-Datos!W31)/Datos!W31," - ")</f>
        <v>-6.2906724511930592E-2</v>
      </c>
      <c r="I31" s="408">
        <f>IF(ISNUMBER((Tasas!C31-Datos!BE31)/Datos!BE31),(Tasas!C31-Datos!BE31)/Datos!BE31," - ")</f>
        <v>-8.5786462369599262E-2</v>
      </c>
      <c r="J31" s="409">
        <f>IF(ISNUMBER((Tasas!D31-Datos!BF31)/Datos!BF31),(Tasas!D31-Datos!BF31)/Datos!BF31," - ")</f>
        <v>-0.35291159765605645</v>
      </c>
      <c r="K31" s="410">
        <f>IF(ISNUMBER((Tasas!E31-Datos!BG31)/Datos!BG31),(Tasas!E31-Datos!BG31)/Datos!BG31," - ")</f>
        <v>-4.9633315931987332E-2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0.53607666265443055</v>
      </c>
      <c r="E33" s="303">
        <f t="shared" si="1"/>
        <v>9.8258908433400502E-2</v>
      </c>
      <c r="F33" s="303">
        <f t="shared" si="1"/>
        <v>0.48932114159014684</v>
      </c>
      <c r="G33" s="304">
        <f t="shared" si="1"/>
        <v>0.36411452549302248</v>
      </c>
      <c r="H33" s="310">
        <f t="shared" si="1"/>
        <v>0.32999176013507264</v>
      </c>
      <c r="I33" s="302">
        <f t="shared" si="1"/>
        <v>0.8075313487026804</v>
      </c>
      <c r="J33" s="303">
        <f t="shared" si="1"/>
        <v>0.31009601616079741</v>
      </c>
      <c r="K33" s="304">
        <f t="shared" si="1"/>
        <v>0.51275967023964852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eKkjIjXAFFWumbO+1z9qPnwP4maYC+0AcBRdrqDDtaFaS63WYhDC6B4Zn/2gw0OdReSOZRSMiByFYPCSqgbIQ==" saltValue="RIzQv4czi0ehgdtrVF9E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